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3.bin" ContentType="application/vnd.openxmlformats-officedocument.spreadsheetml.customProperty"/>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Ex3.xml" ContentType="application/vnd.ms-office.chartex+xml"/>
  <Override PartName="/xl/charts/style6.xml" ContentType="application/vnd.ms-office.chartstyle+xml"/>
  <Override PartName="/xl/charts/colors6.xml" ContentType="application/vnd.ms-office.chartcolorstyle+xml"/>
  <Override PartName="/xl/customProperty4.bin" ContentType="application/vnd.openxmlformats-officedocument.spreadsheetml.customProperty"/>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codeName="ThisWorkbook"/>
  <mc:AlternateContent xmlns:mc="http://schemas.openxmlformats.org/markup-compatibility/2006">
    <mc:Choice Requires="x15">
      <x15ac:absPath xmlns:x15ac="http://schemas.microsoft.com/office/spreadsheetml/2010/11/ac" url="https://001gc.sharepoint.com/sites/LivingLabsNetwork_Rseaudeslaboratoiresvivants/Shared Documents/Socio-economics - Socio-économie/Living Labs Initiative/LLPEI/PEI Crop Rotation Calculator/3. Versions_of_Calculator/"/>
    </mc:Choice>
  </mc:AlternateContent>
  <xr:revisionPtr revIDLastSave="0" documentId="8_{E30B38D7-67FA-4FCE-8AEA-4F5A7A0C74E5}" xr6:coauthVersionLast="47" xr6:coauthVersionMax="47" xr10:uidLastSave="{00000000-0000-0000-0000-000000000000}"/>
  <bookViews>
    <workbookView xWindow="-120" yWindow="-120" windowWidth="29040" windowHeight="15720" tabRatio="648" xr2:uid="{00000000-000D-0000-FFFF-FFFF00000000}"/>
  </bookViews>
  <sheets>
    <sheet name="Introduction" sheetId="52" r:id="rId1"/>
    <sheet name="Combinaisons de cultures" sheetId="43" r:id="rId2"/>
    <sheet name="Tableau de bord" sheetId="47" r:id="rId3"/>
    <sheet name="Cultures" sheetId="3" r:id="rId4"/>
    <sheet name="Rotation_Hide" sheetId="9" state="hidden" r:id="rId5"/>
    <sheet name="Comparaison" sheetId="33" r:id="rId6"/>
    <sheet name="Références" sheetId="53" r:id="rId7"/>
    <sheet name="Yield" sheetId="44" state="hidden" r:id="rId8"/>
    <sheet name="12CF_Hide" sheetId="51" state="hidden" r:id="rId9"/>
    <sheet name="CPI_Hide" sheetId="20" state="hidden" r:id="rId10"/>
  </sheets>
  <definedNames>
    <definedName name="_xlchart.v1.0" hidden="1">Comparaison!$C$101</definedName>
    <definedName name="_xlchart.v1.1" hidden="1">Comparaison!$C$61:$D$61</definedName>
    <definedName name="_xlchart.v1.2" hidden="1">Comparaison!$C$76:$D$76</definedName>
    <definedName name="_xlchart.v1.3" hidden="1">Comparaison!$O$101</definedName>
    <definedName name="_xlchart.v1.4" hidden="1">Comparaison!$O$61:$Q$61</definedName>
    <definedName name="_xlchart.v1.5" hidden="1">Comparaison!$O$76:$Q$76</definedName>
    <definedName name="_xlchart.v1.6" hidden="1">Comparaison!$AA$101</definedName>
    <definedName name="_xlchart.v1.7" hidden="1">Comparaison!$AA$61:$AD$61</definedName>
    <definedName name="_xlchart.v1.8" hidden="1">Comparaison!$AA$76:$AD$76</definedName>
    <definedName name="ExternalData_1" localSheetId="1" hidden="1">'Combinaisons de cultures'!#REF!</definedName>
    <definedName name="ExternalData_1" localSheetId="4" hidden="1">Comparaison!$C$88:$C$88</definedName>
    <definedName name="_xlnm.Print_Area" localSheetId="1">'Combinaisons de cultures'!$B$2:$G$36</definedName>
    <definedName name="_xlnm.Print_Area" localSheetId="4">Rotation_Hide!$B$2:$I$20</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3" l="1"/>
  <c r="T25" i="3"/>
  <c r="P25" i="3"/>
  <c r="K25" i="3" l="1"/>
  <c r="N37" i="33"/>
  <c r="B64" i="47"/>
  <c r="B63" i="47"/>
  <c r="AL37" i="33"/>
  <c r="AK37" i="33"/>
  <c r="AJ37" i="33"/>
  <c r="AI37" i="33"/>
  <c r="AH37" i="33"/>
  <c r="AG37" i="33"/>
  <c r="AF37" i="33"/>
  <c r="AE37" i="33"/>
  <c r="AD37" i="33"/>
  <c r="AC37" i="33"/>
  <c r="AB37" i="33"/>
  <c r="AA37" i="33"/>
  <c r="Z37" i="33"/>
  <c r="Y37" i="33"/>
  <c r="X37" i="33"/>
  <c r="W37" i="33"/>
  <c r="V37" i="33"/>
  <c r="U37" i="33"/>
  <c r="T37" i="33"/>
  <c r="S37" i="33"/>
  <c r="R37" i="33"/>
  <c r="Q37" i="33"/>
  <c r="P37" i="33"/>
  <c r="O37" i="33"/>
  <c r="M37" i="33"/>
  <c r="L37" i="33"/>
  <c r="K37" i="33"/>
  <c r="J37" i="33"/>
  <c r="I37" i="33"/>
  <c r="H37" i="33"/>
  <c r="G37" i="33"/>
  <c r="F37" i="33"/>
  <c r="E37" i="33"/>
  <c r="D37" i="33"/>
  <c r="C37" i="33"/>
  <c r="AL61" i="33"/>
  <c r="AK61" i="33"/>
  <c r="AJ61" i="33"/>
  <c r="AI61" i="33"/>
  <c r="AH61" i="33"/>
  <c r="AG61" i="33"/>
  <c r="AF61" i="33"/>
  <c r="AE61" i="33"/>
  <c r="AD61" i="33"/>
  <c r="AC61" i="33"/>
  <c r="AB61" i="33"/>
  <c r="AA61" i="33"/>
  <c r="Z61" i="33"/>
  <c r="Y61" i="33"/>
  <c r="X61" i="33"/>
  <c r="W61" i="33"/>
  <c r="V61" i="33"/>
  <c r="U61" i="33"/>
  <c r="T61" i="33"/>
  <c r="S61" i="33"/>
  <c r="R61" i="33"/>
  <c r="Q61" i="33"/>
  <c r="P61" i="33"/>
  <c r="O61" i="33"/>
  <c r="N61" i="33"/>
  <c r="M61" i="33"/>
  <c r="L61" i="33"/>
  <c r="K61" i="33"/>
  <c r="J61" i="33"/>
  <c r="I61" i="33"/>
  <c r="H61" i="33"/>
  <c r="G61" i="33"/>
  <c r="F61" i="33"/>
  <c r="E61" i="33"/>
  <c r="D61" i="33"/>
  <c r="C61" i="33"/>
  <c r="D107" i="33"/>
  <c r="E107" i="33"/>
  <c r="F107" i="33"/>
  <c r="G107" i="33"/>
  <c r="H107" i="33"/>
  <c r="I107" i="33"/>
  <c r="J107" i="33"/>
  <c r="K107" i="33"/>
  <c r="L107" i="33"/>
  <c r="M107" i="33"/>
  <c r="N107" i="33"/>
  <c r="O107" i="33"/>
  <c r="P107" i="33"/>
  <c r="Q107" i="33"/>
  <c r="R107" i="33"/>
  <c r="S107" i="33"/>
  <c r="T107" i="33"/>
  <c r="U107" i="33"/>
  <c r="V107" i="33"/>
  <c r="W107" i="33"/>
  <c r="X107" i="33"/>
  <c r="Y107" i="33"/>
  <c r="Z107" i="33"/>
  <c r="AA107" i="33"/>
  <c r="AB107" i="33"/>
  <c r="AC107" i="33"/>
  <c r="AD107" i="33"/>
  <c r="AE107" i="33"/>
  <c r="AF107" i="33"/>
  <c r="AG107" i="33"/>
  <c r="AH107" i="33"/>
  <c r="AI107" i="33"/>
  <c r="AJ107" i="33"/>
  <c r="AK107" i="33"/>
  <c r="AL107" i="33"/>
  <c r="C107" i="33"/>
  <c r="AL104" i="33"/>
  <c r="AL6" i="51" s="1"/>
  <c r="AK104" i="33"/>
  <c r="AK6" i="51" s="1"/>
  <c r="AJ104" i="33"/>
  <c r="AJ6" i="51" s="1"/>
  <c r="AI104" i="33"/>
  <c r="AI6" i="51" s="1"/>
  <c r="AH104" i="33"/>
  <c r="AH6" i="51" s="1"/>
  <c r="AG104" i="33"/>
  <c r="AG6" i="51" s="1"/>
  <c r="AF104" i="33"/>
  <c r="AF6" i="51" s="1"/>
  <c r="AE104" i="33"/>
  <c r="AE6" i="51" s="1"/>
  <c r="AD104" i="33"/>
  <c r="AD6" i="51" s="1"/>
  <c r="AC104" i="33"/>
  <c r="AC6" i="51" s="1"/>
  <c r="AB104" i="33"/>
  <c r="AB6" i="51" s="1"/>
  <c r="AA104" i="33"/>
  <c r="AA6" i="51" s="1"/>
  <c r="Z104" i="33"/>
  <c r="Y104" i="33"/>
  <c r="X104" i="33"/>
  <c r="W104" i="33"/>
  <c r="V104" i="33"/>
  <c r="U104" i="33"/>
  <c r="T104" i="33"/>
  <c r="S104" i="33"/>
  <c r="R104" i="33"/>
  <c r="O104" i="33"/>
  <c r="P104" i="33"/>
  <c r="Q104" i="33"/>
  <c r="N104" i="33"/>
  <c r="M104" i="33"/>
  <c r="L104" i="33"/>
  <c r="K104" i="33"/>
  <c r="J104" i="33"/>
  <c r="I104" i="33"/>
  <c r="H104" i="33"/>
  <c r="G104" i="33"/>
  <c r="F104" i="33"/>
  <c r="E104" i="33"/>
  <c r="D104" i="33"/>
  <c r="C104" i="33"/>
  <c r="B103" i="33"/>
  <c r="B102" i="33"/>
  <c r="B101" i="33"/>
  <c r="AB60" i="33"/>
  <c r="AC60" i="33" s="1"/>
  <c r="AD60" i="33" s="1"/>
  <c r="AE60" i="33" s="1"/>
  <c r="AF60" i="33" s="1"/>
  <c r="AG60" i="33" s="1"/>
  <c r="AH60" i="33" s="1"/>
  <c r="AI60" i="33" s="1"/>
  <c r="AJ60" i="33" s="1"/>
  <c r="AK60" i="33" s="1"/>
  <c r="AL60" i="33" s="1"/>
  <c r="P60" i="33"/>
  <c r="Q60" i="33" s="1"/>
  <c r="R60" i="33" s="1"/>
  <c r="S60" i="33" s="1"/>
  <c r="T60" i="33" s="1"/>
  <c r="U60" i="33" s="1"/>
  <c r="V60" i="33" s="1"/>
  <c r="W60" i="33" s="1"/>
  <c r="X60" i="33" s="1"/>
  <c r="Y60" i="33" s="1"/>
  <c r="Z60" i="33" s="1"/>
  <c r="D60" i="33"/>
  <c r="E60" i="33" s="1"/>
  <c r="F60" i="33" s="1"/>
  <c r="G60" i="33" s="1"/>
  <c r="H60" i="33" s="1"/>
  <c r="I60" i="33" s="1"/>
  <c r="J60" i="33" s="1"/>
  <c r="K60" i="33" s="1"/>
  <c r="L60" i="33" s="1"/>
  <c r="M60" i="33" s="1"/>
  <c r="N60" i="33" s="1"/>
  <c r="C6" i="9" l="1"/>
  <c r="C15" i="43" s="1"/>
  <c r="D6" i="9"/>
  <c r="C16" i="43" s="1"/>
  <c r="E6" i="9"/>
  <c r="F6" i="9"/>
  <c r="G6" i="9"/>
  <c r="H6" i="9"/>
  <c r="I6" i="9"/>
  <c r="J6" i="9"/>
  <c r="K6" i="9"/>
  <c r="L7" i="9"/>
  <c r="L8" i="9"/>
  <c r="L9" i="9"/>
  <c r="L10" i="9"/>
  <c r="L11" i="9"/>
  <c r="B13" i="9"/>
  <c r="L15" i="9"/>
  <c r="L16" i="9"/>
  <c r="B20" i="9"/>
  <c r="B81" i="33" s="1"/>
  <c r="B32" i="43" l="1"/>
  <c r="C89" i="33"/>
  <c r="C110" i="33" l="1"/>
  <c r="E118" i="33"/>
  <c r="D118" i="33"/>
  <c r="D110" i="33"/>
  <c r="C118" i="33"/>
  <c r="O110" i="33"/>
  <c r="P110" i="33"/>
  <c r="T110" i="33"/>
  <c r="X110" i="33"/>
  <c r="AB110" i="33"/>
  <c r="AF110" i="33"/>
  <c r="AJ110" i="33"/>
  <c r="Q110" i="33"/>
  <c r="U110" i="33"/>
  <c r="Y110" i="33"/>
  <c r="AC110" i="33"/>
  <c r="AG110" i="33"/>
  <c r="AK110" i="33"/>
  <c r="M110" i="33"/>
  <c r="R110" i="33"/>
  <c r="V110" i="33"/>
  <c r="AD110" i="33"/>
  <c r="AH110" i="33"/>
  <c r="N110" i="33"/>
  <c r="W110" i="33"/>
  <c r="AE110" i="33"/>
  <c r="L110" i="33"/>
  <c r="Z110" i="33"/>
  <c r="AL110" i="33"/>
  <c r="S110" i="33"/>
  <c r="AA110" i="33"/>
  <c r="AI110" i="33"/>
  <c r="G110" i="33"/>
  <c r="K110" i="33"/>
  <c r="H110" i="33"/>
  <c r="I110" i="33"/>
  <c r="F110" i="33"/>
  <c r="J110" i="33"/>
  <c r="E110" i="33"/>
  <c r="AN23" i="3"/>
  <c r="M23" i="3"/>
  <c r="P23" i="3"/>
  <c r="S23" i="3"/>
  <c r="V23" i="3"/>
  <c r="Y23" i="3"/>
  <c r="AB23" i="3"/>
  <c r="AE23" i="3"/>
  <c r="AH23" i="3"/>
  <c r="AK23" i="3"/>
  <c r="J23" i="3"/>
  <c r="G23" i="3"/>
  <c r="H4" i="47"/>
  <c r="D16" i="44"/>
  <c r="D17" i="44"/>
  <c r="D18" i="44"/>
  <c r="D19" i="44"/>
  <c r="E31" i="44" s="1"/>
  <c r="D20" i="44"/>
  <c r="E30" i="44" s="1"/>
  <c r="D21" i="44"/>
  <c r="D15" i="44"/>
  <c r="B38" i="52"/>
  <c r="B37" i="52"/>
  <c r="B36" i="52"/>
  <c r="B35" i="52"/>
  <c r="AA5" i="51"/>
  <c r="O5" i="51"/>
  <c r="C5" i="51"/>
  <c r="AI4" i="51"/>
  <c r="AE4" i="51"/>
  <c r="AA4" i="51"/>
  <c r="X4" i="51"/>
  <c r="U4" i="51"/>
  <c r="R4" i="51"/>
  <c r="O4" i="51"/>
  <c r="M4" i="51"/>
  <c r="K4" i="51"/>
  <c r="I4" i="51"/>
  <c r="G4" i="51"/>
  <c r="E4" i="51"/>
  <c r="C4" i="51"/>
  <c r="F31" i="44"/>
  <c r="F32" i="44"/>
  <c r="G32" i="44"/>
  <c r="G31" i="44"/>
  <c r="B32" i="44"/>
  <c r="C32" i="44" s="1"/>
  <c r="B31" i="44"/>
  <c r="C31" i="44" s="1"/>
  <c r="G30" i="44"/>
  <c r="G29" i="44"/>
  <c r="C27" i="44"/>
  <c r="C33" i="44"/>
  <c r="C34" i="44"/>
  <c r="C35" i="44"/>
  <c r="C36" i="44"/>
  <c r="C37" i="44"/>
  <c r="C38" i="44"/>
  <c r="B30" i="44"/>
  <c r="C30" i="44" s="1"/>
  <c r="F30" i="44"/>
  <c r="F29" i="44"/>
  <c r="B29" i="44"/>
  <c r="AI36" i="3" l="1"/>
  <c r="AI49" i="3"/>
  <c r="AI43" i="3"/>
  <c r="AI40" i="3"/>
  <c r="AI34" i="3"/>
  <c r="AI26" i="3"/>
  <c r="AI48" i="3"/>
  <c r="AI46" i="3"/>
  <c r="AI41" i="3"/>
  <c r="AI37" i="3"/>
  <c r="AI33" i="3"/>
  <c r="AF46" i="3"/>
  <c r="AF40" i="3"/>
  <c r="AF36" i="3"/>
  <c r="AF34" i="3"/>
  <c r="AF43" i="3"/>
  <c r="AF48" i="3"/>
  <c r="AF49" i="3"/>
  <c r="AF41" i="3"/>
  <c r="AF37" i="3"/>
  <c r="AF26" i="3"/>
  <c r="AF47" i="3"/>
  <c r="AF33" i="3"/>
  <c r="T49" i="3"/>
  <c r="T35" i="3"/>
  <c r="T34" i="3"/>
  <c r="T46" i="3"/>
  <c r="T43" i="3"/>
  <c r="T41" i="3"/>
  <c r="T40" i="3"/>
  <c r="T37" i="3"/>
  <c r="T33" i="3"/>
  <c r="T26" i="3"/>
  <c r="T48" i="3"/>
  <c r="T47" i="3"/>
  <c r="Q42" i="3"/>
  <c r="Q34" i="3"/>
  <c r="Q41" i="3"/>
  <c r="Q33" i="3"/>
  <c r="Q43" i="3"/>
  <c r="Q40" i="3"/>
  <c r="Q37" i="3"/>
  <c r="Q35" i="3"/>
  <c r="Q47" i="3"/>
  <c r="Q36" i="3"/>
  <c r="Q48" i="3"/>
  <c r="Q49" i="3"/>
  <c r="Q46" i="3"/>
  <c r="Q26" i="3"/>
  <c r="Z36" i="3"/>
  <c r="W46" i="3"/>
  <c r="Z35" i="3"/>
  <c r="W40" i="3"/>
  <c r="W37" i="3"/>
  <c r="W35" i="3"/>
  <c r="W30" i="3"/>
  <c r="Z30" i="3"/>
  <c r="Z26" i="3"/>
  <c r="W49" i="3"/>
  <c r="W41" i="3"/>
  <c r="Z46" i="3"/>
  <c r="Y46" i="3" s="1"/>
  <c r="W36" i="3"/>
  <c r="W33" i="3"/>
  <c r="Z41" i="3"/>
  <c r="W26" i="3"/>
  <c r="Z33" i="3"/>
  <c r="Z49" i="3"/>
  <c r="Z43" i="3"/>
  <c r="Z37" i="3"/>
  <c r="Z40" i="3"/>
  <c r="AO41" i="3"/>
  <c r="AO40" i="3"/>
  <c r="AO37" i="3"/>
  <c r="AO26" i="3"/>
  <c r="AO33" i="3"/>
  <c r="AO35" i="3"/>
  <c r="AO48" i="3"/>
  <c r="AO47" i="3"/>
  <c r="AO46" i="3"/>
  <c r="AO49" i="3"/>
  <c r="AO34" i="3"/>
  <c r="AO43" i="3"/>
  <c r="N49" i="3"/>
  <c r="N41" i="3"/>
  <c r="N37" i="3"/>
  <c r="N48" i="3"/>
  <c r="N40" i="3"/>
  <c r="N26" i="3"/>
  <c r="N47" i="3"/>
  <c r="N43" i="3"/>
  <c r="AC43" i="3"/>
  <c r="AC49" i="3"/>
  <c r="AC48" i="3"/>
  <c r="AC46" i="3"/>
  <c r="AC42" i="3"/>
  <c r="AC40" i="3"/>
  <c r="AC37" i="3"/>
  <c r="AC34" i="3"/>
  <c r="AC33" i="3"/>
  <c r="AC26" i="3"/>
  <c r="H46" i="3"/>
  <c r="H37" i="3"/>
  <c r="H33" i="3"/>
  <c r="H49" i="3"/>
  <c r="H44" i="3"/>
  <c r="H42" i="3"/>
  <c r="H40" i="3"/>
  <c r="H34" i="3"/>
  <c r="H41" i="3"/>
  <c r="K36" i="3"/>
  <c r="K26" i="3"/>
  <c r="K49" i="3"/>
  <c r="K46" i="3"/>
  <c r="K34" i="3"/>
  <c r="K41" i="3"/>
  <c r="K33" i="3"/>
  <c r="K37" i="3"/>
  <c r="K48" i="3"/>
  <c r="K43" i="3"/>
  <c r="K40" i="3"/>
  <c r="AL48" i="3"/>
  <c r="AL49" i="3"/>
  <c r="AL46" i="3"/>
  <c r="AL43" i="3"/>
  <c r="AL40" i="3"/>
  <c r="AL35" i="3"/>
  <c r="AL33" i="3"/>
  <c r="AL47" i="3"/>
  <c r="AL41" i="3"/>
  <c r="AL37" i="3"/>
  <c r="AL34" i="3"/>
  <c r="AL26" i="3"/>
  <c r="H26" i="3"/>
  <c r="G26" i="3" s="1"/>
  <c r="E32" i="44"/>
  <c r="E119" i="33"/>
  <c r="D119" i="33"/>
  <c r="C119" i="33"/>
  <c r="H48" i="3"/>
  <c r="H45" i="3"/>
  <c r="H35" i="3"/>
  <c r="H43" i="3"/>
  <c r="H36" i="3"/>
  <c r="AI47" i="3"/>
  <c r="N36" i="3"/>
  <c r="N33" i="3"/>
  <c r="N46" i="3"/>
  <c r="N34" i="3"/>
  <c r="W43" i="3"/>
  <c r="E29" i="44"/>
  <c r="C29" i="44"/>
  <c r="AI45" i="3"/>
  <c r="AI30" i="3"/>
  <c r="AI42" i="3"/>
  <c r="AI27" i="3"/>
  <c r="AI35" i="3"/>
  <c r="AI44" i="3"/>
  <c r="AB54" i="3" l="1"/>
  <c r="AB25" i="3"/>
  <c r="M54" i="3" l="1"/>
  <c r="AK54" i="3"/>
  <c r="AN54" i="3"/>
  <c r="AH54" i="3"/>
  <c r="P54" i="3"/>
  <c r="S54" i="3"/>
  <c r="AE54" i="3"/>
  <c r="J54" i="3"/>
  <c r="Y54" i="3"/>
  <c r="K20" i="9" s="1"/>
  <c r="V54" i="3"/>
  <c r="G54" i="3"/>
  <c r="D20" i="9" l="1"/>
  <c r="F20" i="9"/>
  <c r="I20" i="9"/>
  <c r="C20" i="9"/>
  <c r="E20" i="9"/>
  <c r="H20" i="9"/>
  <c r="G20" i="9"/>
  <c r="J20" i="9"/>
  <c r="Y25" i="3"/>
  <c r="D46" i="33" l="1"/>
  <c r="C46" i="33"/>
  <c r="C40" i="33"/>
  <c r="D52" i="33"/>
  <c r="E52" i="33"/>
  <c r="F52" i="33"/>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C52" i="33"/>
  <c r="D49" i="33"/>
  <c r="E49" i="33"/>
  <c r="F49" i="33"/>
  <c r="G49" i="33"/>
  <c r="H49" i="33"/>
  <c r="I49" i="33"/>
  <c r="J49" i="33"/>
  <c r="K49" i="33"/>
  <c r="L49" i="33"/>
  <c r="M49" i="33"/>
  <c r="N49" i="33"/>
  <c r="O49" i="33"/>
  <c r="P49" i="33"/>
  <c r="Q49" i="33"/>
  <c r="R49" i="33"/>
  <c r="S49" i="33"/>
  <c r="T49" i="33"/>
  <c r="U49" i="33"/>
  <c r="V49" i="33"/>
  <c r="W49" i="33"/>
  <c r="X49" i="33"/>
  <c r="Y49" i="33"/>
  <c r="Z49" i="33"/>
  <c r="AE49" i="33"/>
  <c r="AF49" i="33"/>
  <c r="AG49" i="33"/>
  <c r="AH49" i="33"/>
  <c r="AI49" i="33"/>
  <c r="AJ49" i="33"/>
  <c r="AK49" i="33"/>
  <c r="AL49" i="33"/>
  <c r="C49" i="33"/>
  <c r="E46" i="33"/>
  <c r="F46" i="33"/>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D43" i="33"/>
  <c r="E43" i="33"/>
  <c r="F43" i="33"/>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C43" i="33"/>
  <c r="AA40" i="33"/>
  <c r="AB40" i="33"/>
  <c r="AC40" i="33"/>
  <c r="AD40" i="33"/>
  <c r="AE40" i="33"/>
  <c r="AF40" i="33"/>
  <c r="AG40" i="33"/>
  <c r="AH40" i="33"/>
  <c r="AI40" i="33"/>
  <c r="AJ40" i="33"/>
  <c r="AK40" i="33"/>
  <c r="AL40" i="33"/>
  <c r="O40" i="33"/>
  <c r="P40" i="33"/>
  <c r="Q40" i="33"/>
  <c r="R40" i="33"/>
  <c r="S40" i="33"/>
  <c r="T40" i="33"/>
  <c r="U40" i="33"/>
  <c r="V40" i="33"/>
  <c r="W40" i="33"/>
  <c r="X40" i="33"/>
  <c r="Y40" i="33"/>
  <c r="Z40" i="33"/>
  <c r="E40" i="33"/>
  <c r="F40" i="33"/>
  <c r="G40" i="33"/>
  <c r="H40" i="33"/>
  <c r="I40" i="33"/>
  <c r="J40" i="33"/>
  <c r="K40" i="33"/>
  <c r="L40" i="33"/>
  <c r="M40" i="33"/>
  <c r="N40" i="33"/>
  <c r="T81" i="33" l="1"/>
  <c r="O81" i="33"/>
  <c r="O82" i="33" s="1"/>
  <c r="AD81" i="33"/>
  <c r="AL81" i="33"/>
  <c r="AH81" i="33"/>
  <c r="AA81" i="33"/>
  <c r="AA82" i="33" s="1"/>
  <c r="AE81" i="33"/>
  <c r="AI81" i="33"/>
  <c r="G81" i="33"/>
  <c r="C81" i="33"/>
  <c r="C82" i="33" s="1"/>
  <c r="K81" i="33"/>
  <c r="M81" i="33"/>
  <c r="E81" i="33"/>
  <c r="I81" i="33"/>
  <c r="AG81" i="33"/>
  <c r="AK81" i="33"/>
  <c r="AC81" i="33"/>
  <c r="AJ81" i="33"/>
  <c r="AF81" i="33"/>
  <c r="AB81" i="33"/>
  <c r="Y81" i="33"/>
  <c r="P81" i="33"/>
  <c r="V81" i="33"/>
  <c r="S81" i="33"/>
  <c r="L81" i="33"/>
  <c r="F81" i="33"/>
  <c r="D81" i="33"/>
  <c r="J81" i="33"/>
  <c r="N81" i="33"/>
  <c r="H81" i="33"/>
  <c r="C26" i="44"/>
  <c r="Q81" i="33" l="1"/>
  <c r="Q82" i="33" s="1"/>
  <c r="W81" i="33"/>
  <c r="Z81" i="33"/>
  <c r="X81" i="33"/>
  <c r="R81" i="33"/>
  <c r="U81" i="33"/>
  <c r="AD82" i="33"/>
  <c r="AC82" i="33"/>
  <c r="AL82" i="33"/>
  <c r="AK82" i="33"/>
  <c r="AB82" i="33"/>
  <c r="AE82" i="33"/>
  <c r="AG82" i="33"/>
  <c r="AI82" i="33"/>
  <c r="AH82" i="33"/>
  <c r="AF82" i="33"/>
  <c r="AJ82" i="33"/>
  <c r="P82" i="33"/>
  <c r="M82" i="33"/>
  <c r="I82" i="33"/>
  <c r="D82" i="33"/>
  <c r="N82" i="33"/>
  <c r="H82" i="33"/>
  <c r="G82" i="33"/>
  <c r="E82" i="33"/>
  <c r="K82" i="33"/>
  <c r="L82" i="33"/>
  <c r="F82" i="33"/>
  <c r="J82" i="33"/>
  <c r="I11" i="44"/>
  <c r="I3" i="44"/>
  <c r="J3" i="44"/>
  <c r="V3" i="44"/>
  <c r="AH3" i="44"/>
  <c r="I4" i="44"/>
  <c r="J4" i="44"/>
  <c r="L4" i="44"/>
  <c r="N4" i="44"/>
  <c r="P4" i="44"/>
  <c r="R4" i="44"/>
  <c r="T4" i="44"/>
  <c r="V4" i="44"/>
  <c r="Y4" i="44"/>
  <c r="AB4" i="44"/>
  <c r="AE4" i="44"/>
  <c r="AH4" i="44"/>
  <c r="AL4" i="44"/>
  <c r="AP4" i="44"/>
  <c r="I5" i="44"/>
  <c r="J5" i="44"/>
  <c r="K5" i="44"/>
  <c r="L5" i="44"/>
  <c r="M5" i="44"/>
  <c r="N5" i="44"/>
  <c r="O5" i="44"/>
  <c r="P5" i="44"/>
  <c r="Q5" i="44"/>
  <c r="R5" i="44"/>
  <c r="S5" i="44"/>
  <c r="T5" i="44"/>
  <c r="U5" i="44"/>
  <c r="V5" i="44"/>
  <c r="W5" i="44"/>
  <c r="X5" i="44"/>
  <c r="Y5" i="44"/>
  <c r="Z5" i="44"/>
  <c r="AA5" i="44"/>
  <c r="AB5" i="44"/>
  <c r="AC5" i="44"/>
  <c r="AD5" i="44"/>
  <c r="AE5" i="44"/>
  <c r="AF5" i="44"/>
  <c r="AG5" i="44"/>
  <c r="AH5" i="44"/>
  <c r="AI5" i="44"/>
  <c r="AJ5" i="44"/>
  <c r="AK5" i="44"/>
  <c r="AL5" i="44"/>
  <c r="AM5" i="44"/>
  <c r="AN5" i="44"/>
  <c r="AO5" i="44"/>
  <c r="AP5" i="44"/>
  <c r="AQ5" i="44"/>
  <c r="AR5" i="44"/>
  <c r="AS5" i="44"/>
  <c r="I6" i="44"/>
  <c r="Z82" i="33" l="1"/>
  <c r="R82" i="33"/>
  <c r="W82" i="33"/>
  <c r="T82" i="33"/>
  <c r="V82" i="33"/>
  <c r="S82" i="33"/>
  <c r="X82" i="33"/>
  <c r="U82" i="33"/>
  <c r="Y82" i="33"/>
  <c r="AG6" i="44"/>
  <c r="AD6" i="44"/>
  <c r="AA6" i="44"/>
  <c r="AF6" i="44"/>
  <c r="AC6" i="44"/>
  <c r="Z6" i="44"/>
  <c r="W6" i="44"/>
  <c r="AE6" i="44"/>
  <c r="AB6" i="44"/>
  <c r="Y6" i="44"/>
  <c r="V6" i="44"/>
  <c r="V8" i="44" s="1"/>
  <c r="V9" i="44" s="1"/>
  <c r="V10" i="44" s="1"/>
  <c r="V11" i="44" s="1"/>
  <c r="O53" i="33" s="1"/>
  <c r="U6" i="44"/>
  <c r="T6" i="44"/>
  <c r="S6" i="44"/>
  <c r="R6" i="44"/>
  <c r="Q6" i="44"/>
  <c r="P6" i="44"/>
  <c r="O6" i="44"/>
  <c r="N6" i="44"/>
  <c r="M6" i="44"/>
  <c r="L6" i="44"/>
  <c r="K6" i="44"/>
  <c r="J6" i="44"/>
  <c r="AL6" i="44"/>
  <c r="AQ6" i="44"/>
  <c r="AR6" i="44"/>
  <c r="AS6" i="44"/>
  <c r="AP6" i="44"/>
  <c r="AM6" i="44"/>
  <c r="AN6" i="44"/>
  <c r="AO6" i="44"/>
  <c r="AC49" i="33"/>
  <c r="AB49" i="33"/>
  <c r="T8" i="44" l="1"/>
  <c r="U9" i="44" s="1"/>
  <c r="U10" i="44" s="1"/>
  <c r="U11" i="44" s="1"/>
  <c r="N53" i="33" s="1"/>
  <c r="J9" i="44"/>
  <c r="J10" i="44" s="1"/>
  <c r="U8" i="44"/>
  <c r="J8" i="44"/>
  <c r="K9" i="44" s="1"/>
  <c r="K10" i="44" s="1"/>
  <c r="AD49" i="33"/>
  <c r="AA49" i="33"/>
  <c r="W8" i="44"/>
  <c r="W9" i="44" s="1"/>
  <c r="W10" i="44" s="1"/>
  <c r="W11" i="44" s="1"/>
  <c r="P53" i="33" s="1"/>
  <c r="L8" i="44"/>
  <c r="M9" i="44" s="1"/>
  <c r="P8" i="44"/>
  <c r="M8" i="44"/>
  <c r="K8" i="44"/>
  <c r="Q8" i="44"/>
  <c r="O8" i="44"/>
  <c r="N8" i="44"/>
  <c r="S8" i="44"/>
  <c r="T9" i="44" s="1"/>
  <c r="R8" i="44"/>
  <c r="L9" i="44" l="1"/>
  <c r="L10" i="44" s="1"/>
  <c r="L11" i="44" s="1"/>
  <c r="E53" i="33" s="1"/>
  <c r="T10" i="44"/>
  <c r="T11" i="44" s="1"/>
  <c r="M53" i="33" s="1"/>
  <c r="M55" i="33" s="1"/>
  <c r="K11" i="44"/>
  <c r="D53" i="33" s="1"/>
  <c r="D55" i="33" s="1"/>
  <c r="J11" i="44"/>
  <c r="N55" i="33"/>
  <c r="R9" i="44"/>
  <c r="R10" i="44" s="1"/>
  <c r="R11" i="44" s="1"/>
  <c r="K53" i="33" s="1"/>
  <c r="N9" i="44"/>
  <c r="N10" i="44" s="1"/>
  <c r="N11" i="44" s="1"/>
  <c r="G53" i="33" s="1"/>
  <c r="P9" i="44"/>
  <c r="P10" i="44" s="1"/>
  <c r="P11" i="44" s="1"/>
  <c r="I53" i="33" s="1"/>
  <c r="M10" i="44"/>
  <c r="M11" i="44" s="1"/>
  <c r="F53" i="33" s="1"/>
  <c r="Q9" i="44"/>
  <c r="Q10" i="44" s="1"/>
  <c r="Q11" i="44" s="1"/>
  <c r="J53" i="33" s="1"/>
  <c r="S9" i="44"/>
  <c r="S10" i="44" s="1"/>
  <c r="S11" i="44" s="1"/>
  <c r="L53" i="33" s="1"/>
  <c r="O9" i="44"/>
  <c r="O10" i="44" s="1"/>
  <c r="O11" i="44" s="1"/>
  <c r="H53" i="33" s="1"/>
  <c r="B36" i="43"/>
  <c r="B35" i="43"/>
  <c r="B34" i="43"/>
  <c r="B33" i="43"/>
  <c r="B24" i="43"/>
  <c r="C24" i="43"/>
  <c r="C25" i="43"/>
  <c r="C26" i="43"/>
  <c r="C27" i="43"/>
  <c r="B43" i="43"/>
  <c r="B44" i="43"/>
  <c r="B45" i="43"/>
  <c r="B46" i="43"/>
  <c r="C53" i="33" l="1"/>
  <c r="C55" i="33" s="1"/>
  <c r="P55" i="33"/>
  <c r="O55" i="33"/>
  <c r="H55" i="33"/>
  <c r="K55" i="33"/>
  <c r="L55" i="33"/>
  <c r="I55" i="33"/>
  <c r="E55" i="33"/>
  <c r="J55" i="33"/>
  <c r="F55" i="33"/>
  <c r="G55" i="33"/>
  <c r="B42" i="43"/>
  <c r="D40" i="33"/>
  <c r="X6" i="44" l="1"/>
  <c r="AH6" i="44"/>
  <c r="AI6" i="44"/>
  <c r="AJ6" i="44"/>
  <c r="AK6" i="44"/>
  <c r="N6" i="51"/>
  <c r="M6" i="51"/>
  <c r="L6" i="51"/>
  <c r="K6" i="51"/>
  <c r="J6" i="51"/>
  <c r="I6" i="51"/>
  <c r="H6" i="51"/>
  <c r="G6" i="51"/>
  <c r="F6" i="51"/>
  <c r="E6" i="51"/>
  <c r="D6" i="51"/>
  <c r="C6" i="51"/>
  <c r="D103" i="33"/>
  <c r="D5" i="51" s="1"/>
  <c r="E103" i="33" l="1"/>
  <c r="E5" i="51" s="1"/>
  <c r="AM8" i="44"/>
  <c r="AM9" i="44" s="1"/>
  <c r="AK8" i="44"/>
  <c r="AK9" i="44" s="1"/>
  <c r="AL8" i="44"/>
  <c r="AL9" i="44" s="1"/>
  <c r="AI8" i="44"/>
  <c r="AI9" i="44" s="1"/>
  <c r="AQ8" i="44"/>
  <c r="AQ9" i="44" s="1"/>
  <c r="AN8" i="44"/>
  <c r="AN9" i="44" s="1"/>
  <c r="AO8" i="44"/>
  <c r="AO9" i="44" s="1"/>
  <c r="AS8" i="44"/>
  <c r="AS9" i="44" s="1"/>
  <c r="AP8" i="44"/>
  <c r="AP9" i="44" s="1"/>
  <c r="AR8" i="44"/>
  <c r="AR9" i="44" s="1"/>
  <c r="AJ8" i="44"/>
  <c r="AJ9" i="44" s="1"/>
  <c r="AH8" i="44"/>
  <c r="AH9" i="44" s="1"/>
  <c r="X8" i="44"/>
  <c r="X9" i="44" s="1"/>
  <c r="Z8" i="44"/>
  <c r="Z9" i="44" s="1"/>
  <c r="AB8" i="44"/>
  <c r="AB9" i="44" s="1"/>
  <c r="Y8" i="44"/>
  <c r="Y9" i="44" s="1"/>
  <c r="AG8" i="44"/>
  <c r="AG9" i="44" s="1"/>
  <c r="AD8" i="44"/>
  <c r="AD9" i="44" s="1"/>
  <c r="AE8" i="44"/>
  <c r="AE9" i="44" s="1"/>
  <c r="AF8" i="44"/>
  <c r="AF9" i="44" s="1"/>
  <c r="AC8" i="44"/>
  <c r="AC9" i="44" s="1"/>
  <c r="AA8" i="44"/>
  <c r="AA9" i="44" s="1"/>
  <c r="AH10" i="44" l="1"/>
  <c r="AH11" i="44" s="1"/>
  <c r="AS10" i="44"/>
  <c r="AS11" i="44" s="1"/>
  <c r="AJ10" i="44"/>
  <c r="AJ11" i="44" s="1"/>
  <c r="AO10" i="44"/>
  <c r="AO11" i="44" s="1"/>
  <c r="AL10" i="44"/>
  <c r="AL11" i="44" s="1"/>
  <c r="AK10" i="44"/>
  <c r="AK11" i="44" s="1"/>
  <c r="AR10" i="44"/>
  <c r="AR11" i="44" s="1"/>
  <c r="AQ10" i="44"/>
  <c r="AQ11" i="44" s="1"/>
  <c r="AM10" i="44"/>
  <c r="AM11" i="44" s="1"/>
  <c r="AN10" i="44"/>
  <c r="AN11" i="44" s="1"/>
  <c r="AP10" i="44"/>
  <c r="AP11" i="44" s="1"/>
  <c r="AI10" i="44"/>
  <c r="AI11" i="44" s="1"/>
  <c r="AB10" i="44"/>
  <c r="AB11" i="44" s="1"/>
  <c r="AE10" i="44"/>
  <c r="AE11" i="44" s="1"/>
  <c r="AA10" i="44"/>
  <c r="AA11" i="44" s="1"/>
  <c r="AD10" i="44"/>
  <c r="AD11" i="44" s="1"/>
  <c r="Z10" i="44"/>
  <c r="Z11" i="44" s="1"/>
  <c r="AC10" i="44"/>
  <c r="AC11" i="44" s="1"/>
  <c r="AG10" i="44"/>
  <c r="AG11" i="44" s="1"/>
  <c r="X10" i="44"/>
  <c r="X11" i="44" s="1"/>
  <c r="AF10" i="44"/>
  <c r="AF11" i="44" s="1"/>
  <c r="Y10" i="44"/>
  <c r="Y11" i="44" s="1"/>
  <c r="F103" i="33"/>
  <c r="F5" i="51" s="1"/>
  <c r="R53" i="33" l="1"/>
  <c r="R55" i="33" s="1"/>
  <c r="V53" i="33"/>
  <c r="V55" i="33" s="1"/>
  <c r="Q53" i="33"/>
  <c r="Q55" i="33" s="1"/>
  <c r="W53" i="33"/>
  <c r="W55" i="33" s="1"/>
  <c r="AB53" i="33"/>
  <c r="AB55" i="33" s="1"/>
  <c r="AJ53" i="33"/>
  <c r="AJ55" i="33" s="1"/>
  <c r="AH53" i="33"/>
  <c r="AH55" i="33" s="1"/>
  <c r="Z53" i="33"/>
  <c r="Z55" i="33" s="1"/>
  <c r="T53" i="33"/>
  <c r="T55" i="33" s="1"/>
  <c r="AI53" i="33"/>
  <c r="AI55" i="33" s="1"/>
  <c r="AK53" i="33"/>
  <c r="AK55" i="33" s="1"/>
  <c r="AC53" i="33"/>
  <c r="AC55" i="33" s="1"/>
  <c r="AL53" i="33"/>
  <c r="AL55" i="33" s="1"/>
  <c r="X53" i="33"/>
  <c r="X55" i="33" s="1"/>
  <c r="AG53" i="33"/>
  <c r="AG55" i="33" s="1"/>
  <c r="AD53" i="33"/>
  <c r="AD55" i="33" s="1"/>
  <c r="Y53" i="33"/>
  <c r="Y55" i="33" s="1"/>
  <c r="S53" i="33"/>
  <c r="S55" i="33" s="1"/>
  <c r="U53" i="33"/>
  <c r="U55" i="33" s="1"/>
  <c r="AF53" i="33"/>
  <c r="AF55" i="33" s="1"/>
  <c r="AE53" i="33"/>
  <c r="AE55" i="33" s="1"/>
  <c r="AA53" i="33"/>
  <c r="AA55" i="33" s="1"/>
  <c r="G103" i="33"/>
  <c r="G5" i="51" s="1"/>
  <c r="B41" i="43"/>
  <c r="B40" i="43"/>
  <c r="B39" i="43"/>
  <c r="B38" i="43"/>
  <c r="C21" i="43"/>
  <c r="C20" i="43"/>
  <c r="C19" i="43"/>
  <c r="B19" i="43"/>
  <c r="O6" i="51"/>
  <c r="H103" i="33" l="1"/>
  <c r="H5" i="51" s="1"/>
  <c r="B37" i="43"/>
  <c r="I103" i="33" l="1"/>
  <c r="I5" i="51" s="1"/>
  <c r="Z6" i="51"/>
  <c r="Y6" i="51"/>
  <c r="X6" i="51"/>
  <c r="W6" i="51"/>
  <c r="V6" i="51"/>
  <c r="U6" i="51"/>
  <c r="T6" i="51"/>
  <c r="S6" i="51"/>
  <c r="R6" i="51"/>
  <c r="Q6" i="51"/>
  <c r="P6" i="51"/>
  <c r="AB103" i="33"/>
  <c r="AB5" i="51" s="1"/>
  <c r="P103" i="33"/>
  <c r="P5" i="51" s="1"/>
  <c r="B5" i="51"/>
  <c r="B4" i="51"/>
  <c r="AC103" i="33" l="1"/>
  <c r="AC5" i="51" s="1"/>
  <c r="J103" i="33"/>
  <c r="J5" i="51" s="1"/>
  <c r="Q103" i="33"/>
  <c r="Q5" i="51" s="1"/>
  <c r="AD103" i="33" l="1"/>
  <c r="AD5" i="51" s="1"/>
  <c r="K103" i="33"/>
  <c r="K5" i="51" s="1"/>
  <c r="R103" i="33"/>
  <c r="R5" i="51" s="1"/>
  <c r="AE103" i="33" l="1"/>
  <c r="AE5" i="51" s="1"/>
  <c r="L103" i="33"/>
  <c r="L5" i="51" s="1"/>
  <c r="S103" i="33"/>
  <c r="S5" i="51" s="1"/>
  <c r="AF103" i="33" l="1"/>
  <c r="AF5" i="51" s="1"/>
  <c r="M103" i="33"/>
  <c r="M5" i="51" s="1"/>
  <c r="T103" i="33"/>
  <c r="T5" i="51" s="1"/>
  <c r="F50" i="3"/>
  <c r="C50" i="3"/>
  <c r="D50" i="3"/>
  <c r="E50" i="3"/>
  <c r="D38" i="3"/>
  <c r="E38" i="3"/>
  <c r="F38" i="3"/>
  <c r="C38" i="3"/>
  <c r="AG103" i="33" l="1"/>
  <c r="AG5" i="51" s="1"/>
  <c r="N103" i="33"/>
  <c r="N5" i="51" s="1"/>
  <c r="U103" i="33"/>
  <c r="U5" i="51" s="1"/>
  <c r="C51" i="3"/>
  <c r="D51" i="3"/>
  <c r="F51" i="3"/>
  <c r="E51" i="3"/>
  <c r="AH103" i="33" l="1"/>
  <c r="AH5" i="51" s="1"/>
  <c r="V103" i="33"/>
  <c r="V5" i="51" s="1"/>
  <c r="G25" i="3"/>
  <c r="AI103" i="33" l="1"/>
  <c r="AI5" i="51" s="1"/>
  <c r="W103" i="33"/>
  <c r="W5" i="51" s="1"/>
  <c r="E29" i="3"/>
  <c r="E31" i="3" s="1"/>
  <c r="E52" i="3" s="1"/>
  <c r="F29" i="3"/>
  <c r="F31" i="3" s="1"/>
  <c r="F52" i="3" s="1"/>
  <c r="D29" i="3"/>
  <c r="D31" i="3" s="1"/>
  <c r="D52" i="3" s="1"/>
  <c r="C29" i="3"/>
  <c r="C31" i="3" s="1"/>
  <c r="C52" i="3" s="1"/>
  <c r="AJ103" i="33" l="1"/>
  <c r="AJ5" i="51" s="1"/>
  <c r="X103" i="33"/>
  <c r="X5" i="51" s="1"/>
  <c r="AK103" i="33" l="1"/>
  <c r="AK5" i="51" s="1"/>
  <c r="Y103" i="33"/>
  <c r="Y5" i="51" s="1"/>
  <c r="AL103" i="33" l="1"/>
  <c r="AL5" i="51" s="1"/>
  <c r="Z103" i="33"/>
  <c r="Z5" i="51" s="1"/>
  <c r="A20" i="3" l="1"/>
  <c r="C33" i="52" l="1"/>
  <c r="C35" i="52"/>
  <c r="C36" i="52"/>
  <c r="C37" i="52"/>
  <c r="C38" i="52"/>
  <c r="A21" i="3"/>
  <c r="A22" i="3" s="1"/>
  <c r="A23" i="3" s="1"/>
  <c r="A24" i="3" s="1"/>
  <c r="A25" i="3" s="1"/>
  <c r="A26" i="3" s="1"/>
  <c r="A27" i="3" s="1"/>
  <c r="A28" i="3" s="1"/>
  <c r="A29" i="3" s="1"/>
  <c r="A15" i="9" s="1"/>
  <c r="B15" i="9" s="1"/>
  <c r="A30" i="3" l="1"/>
  <c r="A16" i="9" s="1"/>
  <c r="B16" i="9" s="1"/>
  <c r="A31" i="3" l="1"/>
  <c r="A32" i="3" s="1"/>
  <c r="A33" i="3" s="1"/>
  <c r="A7" i="9" s="1"/>
  <c r="B7" i="9" s="1"/>
  <c r="A34" i="3" l="1"/>
  <c r="M25" i="3"/>
  <c r="AK25" i="3"/>
  <c r="AN25" i="3"/>
  <c r="AH25" i="3"/>
  <c r="S25" i="3"/>
  <c r="AE25" i="3"/>
  <c r="J25" i="3"/>
  <c r="A35" i="3" l="1"/>
  <c r="A8" i="9"/>
  <c r="B8" i="9" s="1"/>
  <c r="B62" i="33"/>
  <c r="A36" i="3" l="1"/>
  <c r="A9" i="9"/>
  <c r="B9" i="9" s="1"/>
  <c r="B63" i="33"/>
  <c r="A37" i="3" l="1"/>
  <c r="A10" i="9"/>
  <c r="B10" i="9" s="1"/>
  <c r="A38" i="3" l="1"/>
  <c r="A39" i="3" s="1"/>
  <c r="A40" i="3" s="1"/>
  <c r="A41" i="3" s="1"/>
  <c r="A42" i="3" s="1"/>
  <c r="A43" i="3" s="1"/>
  <c r="A44" i="3" s="1"/>
  <c r="A45" i="3" s="1"/>
  <c r="A46" i="3" s="1"/>
  <c r="A47" i="3" s="1"/>
  <c r="A48" i="3" s="1"/>
  <c r="A49" i="3" s="1"/>
  <c r="A50" i="3" s="1"/>
  <c r="A51" i="3" s="1"/>
  <c r="A52" i="3" s="1"/>
  <c r="A53" i="3" s="1"/>
  <c r="A54" i="3" s="1"/>
  <c r="A11" i="9"/>
  <c r="B11" i="9" s="1"/>
  <c r="V25" i="3"/>
  <c r="B64" i="33" l="1"/>
  <c r="B65" i="33" l="1"/>
  <c r="B66" i="33" l="1"/>
  <c r="N35" i="3" l="1"/>
  <c r="K47" i="3"/>
  <c r="J47" i="3" s="1"/>
  <c r="J43" i="3"/>
  <c r="J36" i="3"/>
  <c r="J46" i="3"/>
  <c r="J41" i="3"/>
  <c r="J49" i="3"/>
  <c r="K45" i="3"/>
  <c r="J45" i="3" s="1"/>
  <c r="J40" i="3"/>
  <c r="J48" i="3"/>
  <c r="K44" i="3"/>
  <c r="J44" i="3" s="1"/>
  <c r="J37" i="3"/>
  <c r="J26" i="3"/>
  <c r="Z45" i="3"/>
  <c r="Y45" i="3" s="1"/>
  <c r="Z42" i="3"/>
  <c r="Y42" i="3" s="1"/>
  <c r="Z27" i="3"/>
  <c r="Y27" i="3" s="1"/>
  <c r="Z47" i="3"/>
  <c r="Y47" i="3" s="1"/>
  <c r="Z44" i="3"/>
  <c r="Y44" i="3" s="1"/>
  <c r="Y37" i="3"/>
  <c r="Y35" i="3"/>
  <c r="Y33" i="3"/>
  <c r="Y26" i="3"/>
  <c r="Y43" i="3"/>
  <c r="Y30" i="3"/>
  <c r="Y49" i="3"/>
  <c r="Y41" i="3"/>
  <c r="Z48" i="3"/>
  <c r="Y48" i="3" s="1"/>
  <c r="Y40" i="3"/>
  <c r="Y36" i="3"/>
  <c r="Z34" i="3"/>
  <c r="Y34" i="3" s="1"/>
  <c r="V49" i="3"/>
  <c r="V40" i="3"/>
  <c r="V33" i="3"/>
  <c r="W44" i="3"/>
  <c r="V44" i="3" s="1"/>
  <c r="V43" i="3"/>
  <c r="V36" i="3"/>
  <c r="V41" i="3"/>
  <c r="V35" i="3"/>
  <c r="V37" i="3"/>
  <c r="J34" i="3"/>
  <c r="K35" i="3"/>
  <c r="J35" i="3" s="1"/>
  <c r="K42" i="3"/>
  <c r="J42" i="3" s="1"/>
  <c r="K27" i="3"/>
  <c r="J27" i="3" s="1"/>
  <c r="J33" i="3"/>
  <c r="K30" i="3"/>
  <c r="J30" i="3" s="1"/>
  <c r="V26" i="3"/>
  <c r="W34" i="3"/>
  <c r="V34" i="3" s="1"/>
  <c r="W48" i="3"/>
  <c r="V48" i="3" s="1"/>
  <c r="W42" i="3"/>
  <c r="V42" i="3" s="1"/>
  <c r="V30" i="3"/>
  <c r="V46" i="3"/>
  <c r="W27" i="3"/>
  <c r="V27" i="3" s="1"/>
  <c r="W45" i="3"/>
  <c r="V45" i="3" s="1"/>
  <c r="W47" i="3"/>
  <c r="V47" i="3" s="1"/>
  <c r="F11" i="9" l="1"/>
  <c r="F16" i="9"/>
  <c r="F10" i="9"/>
  <c r="F9" i="9"/>
  <c r="G7" i="9"/>
  <c r="F7" i="9"/>
  <c r="F8" i="9"/>
  <c r="G10" i="9"/>
  <c r="AB34" i="3"/>
  <c r="G8" i="9" s="1"/>
  <c r="AC36" i="3"/>
  <c r="AB36" i="3" s="1"/>
  <c r="AB33" i="3"/>
  <c r="AB40" i="3"/>
  <c r="AB43" i="3"/>
  <c r="AC35" i="3"/>
  <c r="AB35" i="3" s="1"/>
  <c r="G9" i="9" s="1"/>
  <c r="AB37" i="3"/>
  <c r="G11" i="9" s="1"/>
  <c r="AC30" i="3"/>
  <c r="AB30" i="3" s="1"/>
  <c r="G16" i="9" s="1"/>
  <c r="AC45" i="3"/>
  <c r="AB45" i="3" s="1"/>
  <c r="AC47" i="3"/>
  <c r="AB47" i="3" s="1"/>
  <c r="AB48" i="3"/>
  <c r="AB42" i="3"/>
  <c r="AC44" i="3"/>
  <c r="AB44" i="3" s="1"/>
  <c r="AC41" i="3"/>
  <c r="AB41" i="3" s="1"/>
  <c r="AB26" i="3"/>
  <c r="AB46" i="3"/>
  <c r="AC27" i="3"/>
  <c r="AB27" i="3" s="1"/>
  <c r="AB49" i="3"/>
  <c r="AE47" i="3"/>
  <c r="AE40" i="3"/>
  <c r="AE33" i="3"/>
  <c r="AE37" i="3"/>
  <c r="AE26" i="3"/>
  <c r="AE49" i="3"/>
  <c r="AE43" i="3"/>
  <c r="AE36" i="3"/>
  <c r="AE41" i="3"/>
  <c r="AE34" i="3"/>
  <c r="AE46" i="3"/>
  <c r="AE48" i="3"/>
  <c r="S48" i="3"/>
  <c r="S41" i="3"/>
  <c r="S47" i="3"/>
  <c r="S40" i="3"/>
  <c r="S34" i="3"/>
  <c r="D8" i="9" s="1"/>
  <c r="S49" i="3"/>
  <c r="S35" i="3"/>
  <c r="D9" i="9" s="1"/>
  <c r="S26" i="3"/>
  <c r="S46" i="3"/>
  <c r="S37" i="3"/>
  <c r="D11" i="9" s="1"/>
  <c r="S33" i="3"/>
  <c r="D7" i="9" s="1"/>
  <c r="S43" i="3"/>
  <c r="P35" i="3"/>
  <c r="K9" i="9" s="1"/>
  <c r="P49" i="3"/>
  <c r="P43" i="3"/>
  <c r="P36" i="3"/>
  <c r="K10" i="9" s="1"/>
  <c r="P41" i="3"/>
  <c r="P34" i="3"/>
  <c r="K8" i="9" s="1"/>
  <c r="P47" i="3"/>
  <c r="P40" i="3"/>
  <c r="P33" i="3"/>
  <c r="K7" i="9" s="1"/>
  <c r="P48" i="3"/>
  <c r="P46" i="3"/>
  <c r="P37" i="3"/>
  <c r="K11" i="9" s="1"/>
  <c r="P26" i="3"/>
  <c r="M43" i="3"/>
  <c r="M37" i="3"/>
  <c r="M41" i="3"/>
  <c r="N27" i="3"/>
  <c r="M46" i="3"/>
  <c r="M48" i="3"/>
  <c r="N42" i="3"/>
  <c r="M42" i="3" s="1"/>
  <c r="M36" i="3"/>
  <c r="M26" i="3"/>
  <c r="M47" i="3"/>
  <c r="M35" i="3"/>
  <c r="M40" i="3"/>
  <c r="AK49" i="3"/>
  <c r="AK43" i="3"/>
  <c r="AK33" i="3"/>
  <c r="I7" i="9" s="1"/>
  <c r="AK26" i="3"/>
  <c r="AK40" i="3"/>
  <c r="AK46" i="3"/>
  <c r="AK34" i="3"/>
  <c r="AK35" i="3"/>
  <c r="AK48" i="3"/>
  <c r="AK41" i="3"/>
  <c r="AK37" i="3"/>
  <c r="AK47" i="3"/>
  <c r="AL36" i="3"/>
  <c r="AK36" i="3" s="1"/>
  <c r="I10" i="9" s="1"/>
  <c r="AN46" i="3"/>
  <c r="AN40" i="3"/>
  <c r="AN34" i="3"/>
  <c r="AN49" i="3"/>
  <c r="AO45" i="3"/>
  <c r="AN45" i="3" s="1"/>
  <c r="AN37" i="3"/>
  <c r="AN33" i="3"/>
  <c r="AN48" i="3"/>
  <c r="AN43" i="3"/>
  <c r="AO36" i="3"/>
  <c r="AN36" i="3" s="1"/>
  <c r="AN41" i="3"/>
  <c r="AN35" i="3"/>
  <c r="AN47" i="3"/>
  <c r="AH46" i="3"/>
  <c r="AH41" i="3"/>
  <c r="AH33" i="3"/>
  <c r="AH48" i="3"/>
  <c r="AH40" i="3"/>
  <c r="AH26" i="3"/>
  <c r="AH37" i="3"/>
  <c r="AH43" i="3"/>
  <c r="AH36" i="3"/>
  <c r="J10" i="9" s="1"/>
  <c r="AH47" i="3"/>
  <c r="AH34" i="3"/>
  <c r="J8" i="9" s="1"/>
  <c r="Y50" i="3"/>
  <c r="Y38" i="3"/>
  <c r="Y29" i="3"/>
  <c r="G45" i="3"/>
  <c r="G49" i="3"/>
  <c r="G43" i="3"/>
  <c r="G46" i="3"/>
  <c r="G48" i="3"/>
  <c r="G42" i="3"/>
  <c r="G37" i="3"/>
  <c r="G33" i="3"/>
  <c r="G36" i="3"/>
  <c r="G40" i="3"/>
  <c r="G35" i="3"/>
  <c r="G41" i="3"/>
  <c r="H30" i="3"/>
  <c r="G30" i="3" s="1"/>
  <c r="G34" i="3"/>
  <c r="G44" i="3"/>
  <c r="H47" i="3"/>
  <c r="G47" i="3" s="1"/>
  <c r="V29" i="3"/>
  <c r="J29" i="3"/>
  <c r="H27" i="3"/>
  <c r="G27" i="3" s="1"/>
  <c r="V38" i="3"/>
  <c r="J50" i="3"/>
  <c r="V50" i="3"/>
  <c r="J38" i="3"/>
  <c r="AH35" i="3"/>
  <c r="J9" i="9" s="1"/>
  <c r="M34" i="3"/>
  <c r="AF35" i="3"/>
  <c r="AE35" i="3" s="1"/>
  <c r="AF42" i="3"/>
  <c r="AE42" i="3" s="1"/>
  <c r="AF30" i="3"/>
  <c r="AE30" i="3" s="1"/>
  <c r="AF44" i="3"/>
  <c r="AE44" i="3" s="1"/>
  <c r="AF27" i="3"/>
  <c r="AE27" i="3" s="1"/>
  <c r="AF45" i="3"/>
  <c r="AE45" i="3" s="1"/>
  <c r="AL27" i="3"/>
  <c r="AL45" i="3"/>
  <c r="AK45" i="3" s="1"/>
  <c r="AL42" i="3"/>
  <c r="AK42" i="3" s="1"/>
  <c r="AL30" i="3"/>
  <c r="AK30" i="3" s="1"/>
  <c r="AL44" i="3"/>
  <c r="AK44" i="3" s="1"/>
  <c r="AH30" i="3"/>
  <c r="AH44" i="3"/>
  <c r="AH45" i="3"/>
  <c r="AH42" i="3"/>
  <c r="AH27" i="3"/>
  <c r="AH49" i="3"/>
  <c r="T27" i="3"/>
  <c r="S27" i="3" s="1"/>
  <c r="T30" i="3"/>
  <c r="S30" i="3" s="1"/>
  <c r="D16" i="9" s="1"/>
  <c r="T44" i="3"/>
  <c r="S44" i="3" s="1"/>
  <c r="T36" i="3"/>
  <c r="S36" i="3" s="1"/>
  <c r="D10" i="9" s="1"/>
  <c r="T45" i="3"/>
  <c r="S45" i="3" s="1"/>
  <c r="T42" i="3"/>
  <c r="S42" i="3" s="1"/>
  <c r="Q27" i="3"/>
  <c r="P27" i="3" s="1"/>
  <c r="Q30" i="3"/>
  <c r="Q44" i="3"/>
  <c r="P44" i="3" s="1"/>
  <c r="Q45" i="3"/>
  <c r="P45" i="3" s="1"/>
  <c r="P42" i="3"/>
  <c r="AO42" i="3"/>
  <c r="AN42" i="3" s="1"/>
  <c r="AO27" i="3"/>
  <c r="AN27" i="3" s="1"/>
  <c r="AO30" i="3"/>
  <c r="AN30" i="3" s="1"/>
  <c r="AO44" i="3"/>
  <c r="AN44" i="3" s="1"/>
  <c r="M49" i="3"/>
  <c r="N30" i="3"/>
  <c r="N44" i="3"/>
  <c r="M44" i="3" s="1"/>
  <c r="M33" i="3"/>
  <c r="N45" i="3"/>
  <c r="M45" i="3" s="1"/>
  <c r="J11" i="9" l="1"/>
  <c r="AC66" i="33" s="1"/>
  <c r="J7" i="9"/>
  <c r="J16" i="9"/>
  <c r="AK72" i="33" s="1"/>
  <c r="I11" i="9"/>
  <c r="AJ66" i="33" s="1"/>
  <c r="I9" i="9"/>
  <c r="I8" i="9"/>
  <c r="AJ63" i="33" s="1"/>
  <c r="I16" i="9"/>
  <c r="AF72" i="33" s="1"/>
  <c r="K12" i="9"/>
  <c r="F13" i="9"/>
  <c r="H16" i="9"/>
  <c r="E16" i="9"/>
  <c r="C16" i="9"/>
  <c r="E72" i="33" s="1"/>
  <c r="F12" i="9"/>
  <c r="H10" i="9"/>
  <c r="AA65" i="33" s="1"/>
  <c r="E10" i="9"/>
  <c r="R65" i="33" s="1"/>
  <c r="C10" i="9"/>
  <c r="K65" i="33" s="1"/>
  <c r="Y31" i="3"/>
  <c r="D12" i="9"/>
  <c r="G12" i="9"/>
  <c r="H9" i="9"/>
  <c r="E9" i="9"/>
  <c r="C9" i="9"/>
  <c r="E64" i="33" s="1"/>
  <c r="C7" i="9"/>
  <c r="E7" i="9"/>
  <c r="H7" i="9"/>
  <c r="J31" i="3"/>
  <c r="F15" i="9"/>
  <c r="F17" i="9" s="1"/>
  <c r="F63" i="33"/>
  <c r="H8" i="9"/>
  <c r="E8" i="9"/>
  <c r="C8" i="9"/>
  <c r="C11" i="9"/>
  <c r="E11" i="9"/>
  <c r="H11" i="9"/>
  <c r="AD66" i="33"/>
  <c r="D66" i="33"/>
  <c r="T66" i="33"/>
  <c r="V72" i="33"/>
  <c r="Y64" i="33"/>
  <c r="D64" i="33"/>
  <c r="AB38" i="3"/>
  <c r="AB50" i="3"/>
  <c r="G13" i="9" s="1"/>
  <c r="AB29" i="3"/>
  <c r="AB31" i="3" s="1"/>
  <c r="G29" i="3"/>
  <c r="Y51" i="3"/>
  <c r="G50" i="3"/>
  <c r="AK66" i="33"/>
  <c r="AG66" i="33"/>
  <c r="L62" i="33"/>
  <c r="G38" i="3"/>
  <c r="S66" i="33"/>
  <c r="Y66" i="33"/>
  <c r="P66" i="33"/>
  <c r="V66" i="33"/>
  <c r="AK65" i="33"/>
  <c r="AG65" i="33"/>
  <c r="AC65" i="33"/>
  <c r="AJ65" i="33"/>
  <c r="AF65" i="33"/>
  <c r="AB65" i="33"/>
  <c r="AK64" i="33"/>
  <c r="AG64" i="33"/>
  <c r="AC64" i="33"/>
  <c r="AF62" i="33"/>
  <c r="AJ62" i="33"/>
  <c r="AB62" i="33"/>
  <c r="N63" i="33"/>
  <c r="J63" i="33"/>
  <c r="L63" i="33"/>
  <c r="D63" i="33"/>
  <c r="H63" i="33"/>
  <c r="Q72" i="33"/>
  <c r="V31" i="3"/>
  <c r="V51" i="3"/>
  <c r="J51" i="3"/>
  <c r="M38" i="3"/>
  <c r="P38" i="3"/>
  <c r="S38" i="3"/>
  <c r="AH50" i="3"/>
  <c r="J13" i="9" s="1"/>
  <c r="AH29" i="3"/>
  <c r="S29" i="3"/>
  <c r="S31" i="3" s="1"/>
  <c r="AE29" i="3"/>
  <c r="AE31" i="3" s="1"/>
  <c r="M50" i="3"/>
  <c r="S50" i="3"/>
  <c r="D13" i="9" s="1"/>
  <c r="AE38" i="3"/>
  <c r="AN38" i="3"/>
  <c r="M30" i="3"/>
  <c r="P29" i="3"/>
  <c r="K15" i="9" s="1"/>
  <c r="AH38" i="3"/>
  <c r="AK50" i="3"/>
  <c r="AN50" i="3"/>
  <c r="P50" i="3"/>
  <c r="K13" i="9" s="1"/>
  <c r="P30" i="3"/>
  <c r="K16" i="9" s="1"/>
  <c r="AL72" i="33" s="1"/>
  <c r="AK38" i="3"/>
  <c r="AE50" i="3"/>
  <c r="AK27" i="3"/>
  <c r="AK29" i="3" s="1"/>
  <c r="M27" i="3"/>
  <c r="M29" i="3" s="1"/>
  <c r="AN26" i="3"/>
  <c r="AN29" i="3" s="1"/>
  <c r="AN31" i="3" s="1"/>
  <c r="J12" i="9" l="1"/>
  <c r="J14" i="9" s="1"/>
  <c r="AB63" i="33"/>
  <c r="AF63" i="33"/>
  <c r="AC72" i="33"/>
  <c r="AG72" i="33"/>
  <c r="I12" i="9"/>
  <c r="I13" i="9"/>
  <c r="AJ68" i="33" s="1"/>
  <c r="J15" i="9"/>
  <c r="J17" i="9" s="1"/>
  <c r="K14" i="9"/>
  <c r="AK31" i="3"/>
  <c r="I15" i="9"/>
  <c r="I17" i="9" s="1"/>
  <c r="K17" i="9"/>
  <c r="G15" i="9"/>
  <c r="G17" i="9" s="1"/>
  <c r="D15" i="9"/>
  <c r="D17" i="9" s="1"/>
  <c r="Y52" i="3"/>
  <c r="F14" i="9"/>
  <c r="F18" i="9" s="1"/>
  <c r="C65" i="33"/>
  <c r="G65" i="33"/>
  <c r="I65" i="33"/>
  <c r="M65" i="33"/>
  <c r="E65" i="33"/>
  <c r="K72" i="33"/>
  <c r="I72" i="33"/>
  <c r="M72" i="33"/>
  <c r="E12" i="9"/>
  <c r="C72" i="33"/>
  <c r="G72" i="33"/>
  <c r="G14" i="9"/>
  <c r="H12" i="9"/>
  <c r="D14" i="9"/>
  <c r="G31" i="3"/>
  <c r="H15" i="9"/>
  <c r="H17" i="9" s="1"/>
  <c r="C15" i="9"/>
  <c r="C17" i="9" s="1"/>
  <c r="E15" i="9"/>
  <c r="E17" i="9" s="1"/>
  <c r="C12" i="9"/>
  <c r="J52" i="3"/>
  <c r="H13" i="9"/>
  <c r="C13" i="9"/>
  <c r="E13" i="9"/>
  <c r="AL66" i="33"/>
  <c r="AH66" i="33"/>
  <c r="J66" i="33"/>
  <c r="F66" i="33"/>
  <c r="Q66" i="33"/>
  <c r="N66" i="33"/>
  <c r="L66" i="33"/>
  <c r="H66" i="33"/>
  <c r="Y72" i="33"/>
  <c r="W66" i="33"/>
  <c r="AB66" i="33"/>
  <c r="Z66" i="33"/>
  <c r="G51" i="3"/>
  <c r="AF66" i="33"/>
  <c r="P72" i="33"/>
  <c r="S72" i="33"/>
  <c r="N64" i="33"/>
  <c r="F64" i="33"/>
  <c r="AJ72" i="33"/>
  <c r="H64" i="33"/>
  <c r="AB72" i="33"/>
  <c r="L64" i="33"/>
  <c r="J64" i="33"/>
  <c r="S64" i="33"/>
  <c r="V64" i="33"/>
  <c r="P64" i="33"/>
  <c r="AF64" i="33"/>
  <c r="AJ64" i="33"/>
  <c r="AJ67" i="33" s="1"/>
  <c r="AB64" i="33"/>
  <c r="AH31" i="3"/>
  <c r="AB51" i="3"/>
  <c r="AB52" i="3" s="1"/>
  <c r="F62" i="33"/>
  <c r="N62" i="33"/>
  <c r="J62" i="33"/>
  <c r="H62" i="33"/>
  <c r="D62" i="33"/>
  <c r="E62" i="33"/>
  <c r="AL62" i="33"/>
  <c r="V68" i="33"/>
  <c r="AE65" i="33"/>
  <c r="AA66" i="33"/>
  <c r="AI66" i="33"/>
  <c r="AE66" i="33"/>
  <c r="O66" i="33"/>
  <c r="U66" i="33"/>
  <c r="X66" i="33"/>
  <c r="R66" i="33"/>
  <c r="E66" i="33"/>
  <c r="K66" i="33"/>
  <c r="G66" i="33"/>
  <c r="C66" i="33"/>
  <c r="I66" i="33"/>
  <c r="M66" i="33"/>
  <c r="O65" i="33"/>
  <c r="M63" i="33"/>
  <c r="E63" i="33"/>
  <c r="AI65" i="33"/>
  <c r="X65" i="33"/>
  <c r="U65" i="33"/>
  <c r="U62" i="33"/>
  <c r="X62" i="33"/>
  <c r="O62" i="33"/>
  <c r="R62" i="33"/>
  <c r="K63" i="33"/>
  <c r="G63" i="33"/>
  <c r="I63" i="33"/>
  <c r="C63" i="33"/>
  <c r="I64" i="33"/>
  <c r="G64" i="33"/>
  <c r="C64" i="33"/>
  <c r="K64" i="33"/>
  <c r="M64" i="33"/>
  <c r="M62" i="33"/>
  <c r="K62" i="33"/>
  <c r="I62" i="33"/>
  <c r="C62" i="33"/>
  <c r="G62" i="33"/>
  <c r="AD62" i="33"/>
  <c r="AH62" i="33"/>
  <c r="Q64" i="33"/>
  <c r="W64" i="33"/>
  <c r="T64" i="33"/>
  <c r="Z64" i="33"/>
  <c r="T65" i="33"/>
  <c r="Q65" i="33"/>
  <c r="Z65" i="33"/>
  <c r="W65" i="33"/>
  <c r="P65" i="33"/>
  <c r="Y65" i="33"/>
  <c r="V65" i="33"/>
  <c r="S65" i="33"/>
  <c r="AL64" i="33"/>
  <c r="AH64" i="33"/>
  <c r="AD64" i="33"/>
  <c r="AL65" i="33"/>
  <c r="AH65" i="33"/>
  <c r="AD65" i="33"/>
  <c r="N65" i="33"/>
  <c r="J65" i="33"/>
  <c r="F65" i="33"/>
  <c r="L65" i="33"/>
  <c r="H65" i="33"/>
  <c r="D65" i="33"/>
  <c r="Z62" i="33"/>
  <c r="Q62" i="33"/>
  <c r="W62" i="33"/>
  <c r="T62" i="33"/>
  <c r="R63" i="33"/>
  <c r="U63" i="33"/>
  <c r="X63" i="33"/>
  <c r="O63" i="33"/>
  <c r="AE63" i="33"/>
  <c r="AA63" i="33"/>
  <c r="AI63" i="33"/>
  <c r="V62" i="33"/>
  <c r="Y62" i="33"/>
  <c r="P62" i="33"/>
  <c r="S62" i="33"/>
  <c r="AL63" i="33"/>
  <c r="AH63" i="33"/>
  <c r="AD63" i="33"/>
  <c r="V63" i="33"/>
  <c r="Y63" i="33"/>
  <c r="S63" i="33"/>
  <c r="P63" i="33"/>
  <c r="AK62" i="33"/>
  <c r="AG62" i="33"/>
  <c r="AC62" i="33"/>
  <c r="AE62" i="33"/>
  <c r="AI62" i="33"/>
  <c r="AA62" i="33"/>
  <c r="T72" i="33"/>
  <c r="V52" i="3"/>
  <c r="M51" i="3"/>
  <c r="W72" i="33"/>
  <c r="Z68" i="33"/>
  <c r="Z72" i="33"/>
  <c r="J72" i="33"/>
  <c r="D72" i="33"/>
  <c r="H72" i="33"/>
  <c r="N72" i="33"/>
  <c r="F72" i="33"/>
  <c r="L72" i="33"/>
  <c r="AH68" i="33"/>
  <c r="AD72" i="33"/>
  <c r="AH72" i="33"/>
  <c r="AK68" i="33"/>
  <c r="AC68" i="33"/>
  <c r="AG68" i="33"/>
  <c r="M31" i="3"/>
  <c r="P51" i="3"/>
  <c r="O72" i="33"/>
  <c r="R72" i="33"/>
  <c r="U72" i="33"/>
  <c r="X72" i="33"/>
  <c r="AI72" i="33"/>
  <c r="AE72" i="33"/>
  <c r="AA72" i="33"/>
  <c r="AH51" i="3"/>
  <c r="S51" i="3"/>
  <c r="AE51" i="3"/>
  <c r="P31" i="3"/>
  <c r="AK51" i="3"/>
  <c r="AN51" i="3"/>
  <c r="I14" i="9" l="1"/>
  <c r="I19" i="9" s="1"/>
  <c r="J19" i="9"/>
  <c r="AC71" i="33"/>
  <c r="AC73" i="33" s="1"/>
  <c r="AG71" i="33"/>
  <c r="AG73" i="33" s="1"/>
  <c r="AK71" i="33"/>
  <c r="AK73" i="33" s="1"/>
  <c r="K18" i="9"/>
  <c r="G19" i="9"/>
  <c r="K19" i="9"/>
  <c r="D18" i="9"/>
  <c r="F19" i="9"/>
  <c r="G52" i="3"/>
  <c r="L27" i="43" s="1"/>
  <c r="E14" i="9"/>
  <c r="E19" i="9" s="1"/>
  <c r="G18" i="9"/>
  <c r="D19" i="9"/>
  <c r="J18" i="9"/>
  <c r="C14" i="9"/>
  <c r="C19" i="9" s="1"/>
  <c r="H14" i="9"/>
  <c r="H19" i="9" s="1"/>
  <c r="V71" i="33"/>
  <c r="V73" i="33" s="1"/>
  <c r="AB67" i="33"/>
  <c r="AF67" i="33"/>
  <c r="L67" i="33"/>
  <c r="H67" i="33"/>
  <c r="AF68" i="33"/>
  <c r="D71" i="33"/>
  <c r="D73" i="33" s="1"/>
  <c r="F71" i="33"/>
  <c r="F73" i="33" s="1"/>
  <c r="J71" i="33"/>
  <c r="J73" i="33" s="1"/>
  <c r="H71" i="33"/>
  <c r="H73" i="33" s="1"/>
  <c r="N71" i="33"/>
  <c r="N73" i="33" s="1"/>
  <c r="L71" i="33"/>
  <c r="L73" i="33" s="1"/>
  <c r="AJ71" i="33"/>
  <c r="AJ73" i="33" s="1"/>
  <c r="AB68" i="33"/>
  <c r="P71" i="33"/>
  <c r="P73" i="33" s="1"/>
  <c r="AB71" i="33"/>
  <c r="AB73" i="33" s="1"/>
  <c r="S71" i="33"/>
  <c r="S73" i="33" s="1"/>
  <c r="Y71" i="33"/>
  <c r="Y73" i="33" s="1"/>
  <c r="AF71" i="33"/>
  <c r="AF73" i="33" s="1"/>
  <c r="F67" i="33"/>
  <c r="N67" i="33"/>
  <c r="D67" i="33"/>
  <c r="J67" i="33"/>
  <c r="P68" i="33"/>
  <c r="Y68" i="33"/>
  <c r="S68" i="33"/>
  <c r="E67" i="33"/>
  <c r="Y67" i="33"/>
  <c r="G67" i="33"/>
  <c r="M67" i="33"/>
  <c r="AL67" i="33"/>
  <c r="K67" i="33"/>
  <c r="P67" i="33"/>
  <c r="AD67" i="33"/>
  <c r="V67" i="33"/>
  <c r="C67" i="33"/>
  <c r="S67" i="33"/>
  <c r="AH67" i="33"/>
  <c r="I67" i="33"/>
  <c r="X68" i="33"/>
  <c r="I71" i="33"/>
  <c r="I73" i="33" s="1"/>
  <c r="AJ70" i="33"/>
  <c r="M71" i="33"/>
  <c r="M73" i="33" s="1"/>
  <c r="G71" i="33"/>
  <c r="G73" i="33" s="1"/>
  <c r="K71" i="33"/>
  <c r="K73" i="33" s="1"/>
  <c r="C71" i="33"/>
  <c r="C73" i="33" s="1"/>
  <c r="E71" i="33"/>
  <c r="E73" i="33" s="1"/>
  <c r="AL71" i="33"/>
  <c r="AL73" i="33" s="1"/>
  <c r="AH71" i="33"/>
  <c r="AH73" i="33" s="1"/>
  <c r="AD71" i="33"/>
  <c r="AD73" i="33" s="1"/>
  <c r="Q71" i="33"/>
  <c r="Q73" i="33" s="1"/>
  <c r="T71" i="33"/>
  <c r="T73" i="33" s="1"/>
  <c r="Z71" i="33"/>
  <c r="Z73" i="33" s="1"/>
  <c r="W71" i="33"/>
  <c r="W73" i="33" s="1"/>
  <c r="U71" i="33"/>
  <c r="U73" i="33" s="1"/>
  <c r="X71" i="33"/>
  <c r="X73" i="33" s="1"/>
  <c r="R71" i="33"/>
  <c r="R73" i="33" s="1"/>
  <c r="O71" i="33"/>
  <c r="O73" i="33" s="1"/>
  <c r="AE71" i="33"/>
  <c r="AE73" i="33" s="1"/>
  <c r="AA71" i="33"/>
  <c r="AA73" i="33" s="1"/>
  <c r="AI71" i="33"/>
  <c r="AI73" i="33" s="1"/>
  <c r="U64" i="33"/>
  <c r="U67" i="33" s="1"/>
  <c r="X64" i="33"/>
  <c r="X67" i="33" s="1"/>
  <c r="R64" i="33"/>
  <c r="R67" i="33" s="1"/>
  <c r="O64" i="33"/>
  <c r="O67" i="33" s="1"/>
  <c r="AI64" i="33"/>
  <c r="AI67" i="33" s="1"/>
  <c r="AE64" i="33"/>
  <c r="AE67" i="33" s="1"/>
  <c r="AA64" i="33"/>
  <c r="AA67" i="33" s="1"/>
  <c r="AG63" i="33"/>
  <c r="AG67" i="33" s="1"/>
  <c r="AC63" i="33"/>
  <c r="AC67" i="33" s="1"/>
  <c r="AK63" i="33"/>
  <c r="AK67" i="33" s="1"/>
  <c r="Z63" i="33"/>
  <c r="Z67" i="33" s="1"/>
  <c r="Q63" i="33"/>
  <c r="Q67" i="33" s="1"/>
  <c r="T63" i="33"/>
  <c r="T67" i="33" s="1"/>
  <c r="W63" i="33"/>
  <c r="W67" i="33" s="1"/>
  <c r="L26" i="43"/>
  <c r="T68" i="33"/>
  <c r="AL68" i="33"/>
  <c r="M52" i="3"/>
  <c r="AD68" i="33"/>
  <c r="Q68" i="33"/>
  <c r="W68" i="33"/>
  <c r="P52" i="3"/>
  <c r="AK52" i="3"/>
  <c r="AN52" i="3"/>
  <c r="AE52" i="3"/>
  <c r="H26" i="43" s="1"/>
  <c r="AH52" i="3"/>
  <c r="S52" i="3"/>
  <c r="H16" i="43" s="1"/>
  <c r="I18" i="9" l="1"/>
  <c r="D25" i="43" s="1"/>
  <c r="F15" i="43"/>
  <c r="H25" i="43"/>
  <c r="F25" i="43"/>
  <c r="L16" i="43"/>
  <c r="J24" i="43"/>
  <c r="L25" i="43"/>
  <c r="J16" i="43"/>
  <c r="F19" i="43"/>
  <c r="E18" i="9"/>
  <c r="H18" i="9"/>
  <c r="C18" i="9"/>
  <c r="D15" i="43" s="1"/>
  <c r="AB70" i="33"/>
  <c r="AB74" i="33" s="1"/>
  <c r="AB78" i="33" s="1"/>
  <c r="AF70" i="33"/>
  <c r="AF74" i="33" s="1"/>
  <c r="AF78" i="33" s="1"/>
  <c r="AJ74" i="33"/>
  <c r="AJ78" i="33" s="1"/>
  <c r="F26" i="43"/>
  <c r="L20" i="43"/>
  <c r="J25" i="43"/>
  <c r="J26" i="43"/>
  <c r="F68" i="33"/>
  <c r="F70" i="33" s="1"/>
  <c r="F83" i="33" s="1"/>
  <c r="D20" i="43"/>
  <c r="O68" i="33"/>
  <c r="U68" i="33"/>
  <c r="R68" i="33"/>
  <c r="AI68" i="33"/>
  <c r="AE68" i="33"/>
  <c r="AA68" i="33"/>
  <c r="C68" i="33"/>
  <c r="C70" i="33" s="1"/>
  <c r="I68" i="33"/>
  <c r="I70" i="33" s="1"/>
  <c r="I74" i="33" s="1"/>
  <c r="E68" i="33"/>
  <c r="E70" i="33" s="1"/>
  <c r="G68" i="33"/>
  <c r="G70" i="33" s="1"/>
  <c r="K68" i="33"/>
  <c r="K70" i="33" s="1"/>
  <c r="M68" i="33"/>
  <c r="M70" i="33" s="1"/>
  <c r="M83" i="33" s="1"/>
  <c r="V70" i="33"/>
  <c r="V74" i="33" s="1"/>
  <c r="V78" i="33" s="1"/>
  <c r="Y70" i="33"/>
  <c r="Y74" i="33" s="1"/>
  <c r="Y78" i="33" s="1"/>
  <c r="S70" i="33"/>
  <c r="S74" i="33" s="1"/>
  <c r="S78" i="33" s="1"/>
  <c r="P70" i="33"/>
  <c r="P74" i="33" s="1"/>
  <c r="P78" i="33" s="1"/>
  <c r="AJ83" i="33"/>
  <c r="N68" i="33"/>
  <c r="L68" i="33"/>
  <c r="D68" i="33"/>
  <c r="J68" i="33"/>
  <c r="H68" i="33"/>
  <c r="L21" i="43"/>
  <c r="AK70" i="33"/>
  <c r="AG70" i="33"/>
  <c r="AC70" i="33"/>
  <c r="F21" i="43"/>
  <c r="H27" i="43"/>
  <c r="F27" i="43"/>
  <c r="J21" i="43"/>
  <c r="J27" i="43"/>
  <c r="F16" i="43"/>
  <c r="J15" i="43"/>
  <c r="F24" i="43"/>
  <c r="H20" i="43"/>
  <c r="H15" i="43"/>
  <c r="L24" i="43"/>
  <c r="H24" i="43"/>
  <c r="L15" i="43"/>
  <c r="J19" i="43"/>
  <c r="H19" i="43"/>
  <c r="H21" i="43"/>
  <c r="L19" i="43"/>
  <c r="F20" i="43"/>
  <c r="J20" i="43"/>
  <c r="E33" i="43" l="1"/>
  <c r="C45" i="43"/>
  <c r="C44" i="43"/>
  <c r="C43" i="43"/>
  <c r="C39" i="43"/>
  <c r="E38" i="43"/>
  <c r="C38" i="43"/>
  <c r="C33" i="43"/>
  <c r="E46" i="43"/>
  <c r="C46" i="43"/>
  <c r="E35" i="43"/>
  <c r="C35" i="43"/>
  <c r="C40" i="43"/>
  <c r="E34" i="43"/>
  <c r="C34" i="43"/>
  <c r="C41" i="43"/>
  <c r="E36" i="43"/>
  <c r="C36" i="43"/>
  <c r="E41" i="43"/>
  <c r="E44" i="43"/>
  <c r="E43" i="43"/>
  <c r="E45" i="43"/>
  <c r="E39" i="43"/>
  <c r="E40" i="43"/>
  <c r="AF83" i="33"/>
  <c r="AB83" i="33"/>
  <c r="I77" i="33"/>
  <c r="F74" i="33"/>
  <c r="F78" i="33" s="1"/>
  <c r="D16" i="43"/>
  <c r="M74" i="33"/>
  <c r="M77" i="33" s="1"/>
  <c r="C83" i="33"/>
  <c r="C74" i="33"/>
  <c r="K83" i="33"/>
  <c r="K74" i="33"/>
  <c r="K77" i="33" s="1"/>
  <c r="G83" i="33"/>
  <c r="G74" i="33"/>
  <c r="E74" i="33"/>
  <c r="E77" i="33" s="1"/>
  <c r="E83" i="33"/>
  <c r="Y83" i="33"/>
  <c r="V83" i="33"/>
  <c r="I83" i="33"/>
  <c r="S83" i="33"/>
  <c r="Z70" i="33"/>
  <c r="Z74" i="33" s="1"/>
  <c r="Z79" i="33" s="1"/>
  <c r="H70" i="33"/>
  <c r="H74" i="33" s="1"/>
  <c r="L70" i="33"/>
  <c r="L74" i="33" s="1"/>
  <c r="L78" i="33" s="1"/>
  <c r="N70" i="33"/>
  <c r="N83" i="33" s="1"/>
  <c r="P83" i="33"/>
  <c r="W70" i="33"/>
  <c r="W74" i="33" s="1"/>
  <c r="W79" i="33" s="1"/>
  <c r="J70" i="33"/>
  <c r="J74" i="33" s="1"/>
  <c r="T70" i="33"/>
  <c r="T74" i="33" s="1"/>
  <c r="T79" i="33" s="1"/>
  <c r="D70" i="33"/>
  <c r="D83" i="33" s="1"/>
  <c r="AC74" i="33"/>
  <c r="AC79" i="33" s="1"/>
  <c r="AC83" i="33"/>
  <c r="AG74" i="33"/>
  <c r="AG79" i="33" s="1"/>
  <c r="AG83" i="33"/>
  <c r="AK74" i="33"/>
  <c r="AK79" i="33" s="1"/>
  <c r="AK83" i="33"/>
  <c r="R70" i="33"/>
  <c r="U70" i="33"/>
  <c r="X70" i="33"/>
  <c r="Q70" i="33"/>
  <c r="D24" i="43"/>
  <c r="D26" i="43"/>
  <c r="AE70" i="33"/>
  <c r="AI70" i="33"/>
  <c r="E32" i="43" l="1"/>
  <c r="F33" i="43" s="1"/>
  <c r="C32" i="43"/>
  <c r="D33" i="43" s="1"/>
  <c r="C75" i="33"/>
  <c r="AB84" i="33"/>
  <c r="H34" i="47" s="1"/>
  <c r="C77" i="33"/>
  <c r="J78" i="33"/>
  <c r="G77" i="33"/>
  <c r="C84" i="33"/>
  <c r="F33" i="47" s="1"/>
  <c r="P84" i="33"/>
  <c r="G34" i="47" s="1"/>
  <c r="J83" i="33"/>
  <c r="H83" i="33"/>
  <c r="T83" i="33"/>
  <c r="Z83" i="33"/>
  <c r="D74" i="33"/>
  <c r="C97" i="33" s="1"/>
  <c r="L83" i="33"/>
  <c r="W83" i="33"/>
  <c r="H78" i="33"/>
  <c r="N74" i="33"/>
  <c r="AA70" i="33"/>
  <c r="O70" i="33"/>
  <c r="AC84" i="33"/>
  <c r="H35" i="47" s="1"/>
  <c r="AE74" i="33"/>
  <c r="AE77" i="33" s="1"/>
  <c r="AE83" i="33"/>
  <c r="U74" i="33"/>
  <c r="U77" i="33" s="1"/>
  <c r="U83" i="33"/>
  <c r="Q74" i="33"/>
  <c r="Q79" i="33" s="1"/>
  <c r="Q83" i="33"/>
  <c r="R74" i="33"/>
  <c r="R77" i="33" s="1"/>
  <c r="R83" i="33"/>
  <c r="AI74" i="33"/>
  <c r="AI77" i="33" s="1"/>
  <c r="AI83" i="33"/>
  <c r="X74" i="33"/>
  <c r="X77" i="33" s="1"/>
  <c r="X83" i="33"/>
  <c r="D21" i="43"/>
  <c r="D19" i="43"/>
  <c r="F46" i="43" l="1"/>
  <c r="F38" i="43"/>
  <c r="F43" i="43"/>
  <c r="F45" i="43"/>
  <c r="F39" i="43"/>
  <c r="D34" i="43"/>
  <c r="F40" i="43"/>
  <c r="D36" i="43"/>
  <c r="D35" i="43"/>
  <c r="AA83" i="33"/>
  <c r="AA84" i="33" s="1"/>
  <c r="H33" i="47" s="1"/>
  <c r="F44" i="43"/>
  <c r="E37" i="43"/>
  <c r="F37" i="43" s="1"/>
  <c r="C37" i="43"/>
  <c r="F36" i="43"/>
  <c r="F34" i="43"/>
  <c r="F41" i="43"/>
  <c r="F35" i="43"/>
  <c r="C95" i="33"/>
  <c r="C37" i="47"/>
  <c r="D75" i="33"/>
  <c r="M75" i="33"/>
  <c r="I75" i="33"/>
  <c r="G75" i="33"/>
  <c r="N75" i="33"/>
  <c r="H75" i="33"/>
  <c r="J75" i="33"/>
  <c r="F75" i="33"/>
  <c r="K75" i="33"/>
  <c r="L75" i="33"/>
  <c r="E75" i="33"/>
  <c r="N78" i="33"/>
  <c r="D78" i="33"/>
  <c r="D84" i="33"/>
  <c r="F34" i="47" s="1"/>
  <c r="AA74" i="33"/>
  <c r="Q84" i="33"/>
  <c r="G35" i="47" s="1"/>
  <c r="O74" i="33"/>
  <c r="P75" i="33" s="1"/>
  <c r="O83" i="33"/>
  <c r="O84" i="33" s="1"/>
  <c r="G33" i="47" s="1"/>
  <c r="D40" i="43" l="1"/>
  <c r="D38" i="43"/>
  <c r="D41" i="43"/>
  <c r="D39" i="43"/>
  <c r="D37" i="47"/>
  <c r="D95" i="33"/>
  <c r="F62" i="47"/>
  <c r="D76" i="33"/>
  <c r="C76" i="33"/>
  <c r="T75" i="33"/>
  <c r="Q75" i="33"/>
  <c r="S75" i="33"/>
  <c r="W75" i="33"/>
  <c r="O75" i="33"/>
  <c r="X75" i="33"/>
  <c r="U75" i="33"/>
  <c r="R75" i="33"/>
  <c r="Y75" i="33"/>
  <c r="Z75" i="33"/>
  <c r="V75" i="33"/>
  <c r="AA75" i="33"/>
  <c r="AC75" i="33"/>
  <c r="AB75" i="33"/>
  <c r="AA77" i="33"/>
  <c r="O77" i="33"/>
  <c r="AH70" i="33"/>
  <c r="O76" i="33" l="1"/>
  <c r="G62" i="47"/>
  <c r="P76" i="33"/>
  <c r="Q76" i="33"/>
  <c r="AL70" i="33"/>
  <c r="AL83" i="33" s="1"/>
  <c r="AD70" i="33"/>
  <c r="AH74" i="33"/>
  <c r="AH80" i="33" s="1"/>
  <c r="AH83" i="33"/>
  <c r="D27" i="43"/>
  <c r="E42" i="43" l="1"/>
  <c r="F42" i="43" s="1"/>
  <c r="C42" i="43"/>
  <c r="AD74" i="33"/>
  <c r="AD83" i="33"/>
  <c r="AD84" i="33" s="1"/>
  <c r="H36" i="47" s="1"/>
  <c r="AL74" i="33"/>
  <c r="AL80" i="33" s="1"/>
  <c r="D44" i="43" l="1"/>
  <c r="D45" i="43"/>
  <c r="D46" i="43"/>
  <c r="D43" i="43"/>
  <c r="E37" i="47"/>
  <c r="E95" i="33"/>
  <c r="E97" i="33"/>
  <c r="AJ75" i="33"/>
  <c r="AH75" i="33"/>
  <c r="AF75" i="33"/>
  <c r="AD75" i="33"/>
  <c r="AL75" i="33"/>
  <c r="AK75" i="33"/>
  <c r="AG75" i="33"/>
  <c r="AE75" i="33"/>
  <c r="AI75" i="33"/>
  <c r="AD80" i="33"/>
  <c r="H62" i="47" l="1"/>
  <c r="AD76" i="33"/>
  <c r="AB76" i="33"/>
  <c r="AC76" i="33"/>
  <c r="AA76" i="33"/>
  <c r="C98" i="33"/>
  <c r="F64" i="47" s="1"/>
  <c r="C96" i="33"/>
  <c r="F63"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Patel, Bijal</author>
  </authors>
  <commentList>
    <comment ref="B30" authorId="0" shapeId="0" xr:uid="{00000000-0006-0000-0300-000001000000}">
      <text>
        <r>
          <rPr>
            <b/>
            <sz val="9"/>
            <color indexed="81"/>
            <rFont val="Tahoma"/>
            <family val="2"/>
          </rPr>
          <t>Patel, Bijal:
E.</t>
        </r>
        <r>
          <rPr>
            <sz val="9"/>
            <color indexed="81"/>
            <rFont val="Tahoma"/>
            <family val="2"/>
          </rPr>
          <t xml:space="preserve">g. annual financial assisstance for the specified crop.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 0" description="Connection to the 'Table 0' query in the workbook." type="5" refreshedVersion="8" background="1" refreshOnLoad="1" saveData="1">
    <dbPr connection="Provider=Microsoft.Mashup.OleDb.1;Data Source=$Workbook$;Location=&quot;Table 0&quot;;Extended Properties=&quot;&quot;" command="SELECT * FROM [Table 0]"/>
  </connection>
</connections>
</file>

<file path=xl/sharedStrings.xml><?xml version="1.0" encoding="utf-8"?>
<sst xmlns="http://schemas.openxmlformats.org/spreadsheetml/2006/main" count="673" uniqueCount="392">
  <si>
    <r>
      <rPr>
        <b/>
        <sz val="12"/>
        <color rgb="FF000000"/>
        <rFont val="Arial"/>
        <family val="2"/>
      </rPr>
      <t xml:space="preserve">Contexte: </t>
    </r>
    <r>
      <rPr>
        <sz val="12"/>
        <color rgb="FF000000"/>
        <rFont val="Arial"/>
        <family val="2"/>
      </rPr>
      <t xml:space="preserve">L’Initiative des laboratoires vivants est une nouvelle façon d’aborder l’innovation agricole au Canada. Le programme regroupe des agriculteurs, des scientifiques et d’autres acteurs pour élaborer et mettre à l’essai conjointement des pratiques et des technologies novatrices afin de s’attaquer aux défis agroenvironnementaux, notamment atténuer le changement climatique et s’y adapter, protéger la qualité des sols et de l’eau ainsi qu’optimiser la biodiversité dans les paysages agricoles. Situé sur l’Île-du-Prince-Édouard (Î.-P.-É.), le Laboratoire vivant de l’Atlantique était l’un des quatre laboratoires vivants de cette initiative qui s’est achevée en 2023.                                                                                                                                               
                                                                                                                                                                                                                                                                                                                                                                                    Dans la rotation de cultures, le type de cultures choisi peut avoir une incidence sur la ou les années suivantes. Certaines cultures sont connues pour augmenter le rendement des cultures suivantes, tandis que d’autres peuvent avoir des effets négatifs tels que l’épuisement des sols (p. ex., Fisher, 2015). Toutefois, en ce qui concerne les cultures de pommes de terre, plusieurs études ont montré que des périodes plus longues entre les cultures de pommes de terre dans un même champ peuvent avoir un effet positif sur le rendement (p. ex., Larkin et Honeycutt, 2006).  
                                                                                                                                                                                                                                                                                                                                                                                          Un calculateur de rotation des cultures a été mis au point pour aider les agriculteurs dans le cadre du Laboratoire vivant de l’Atlantique. Le calculateur permet aux utilisateurs d’explorer les avantages économiques à la ferme de différentes rotations de cultures, tant sur le plan de la durée de rotation (2, 3 et 4 ans) que du type de cultures.                                                                                                                                                                                                                                                                                                                                                                                                                                                                                                                                         </t>
    </r>
  </si>
  <si>
    <r>
      <rPr>
        <b/>
        <sz val="12"/>
        <color rgb="FF000000"/>
        <rFont val="Arial"/>
        <family val="2"/>
      </rPr>
      <t xml:space="preserve">But: </t>
    </r>
    <r>
      <rPr>
        <sz val="12"/>
        <color rgb="FF000000"/>
        <rFont val="Arial"/>
        <family val="2"/>
      </rPr>
      <t>Le calculateur de rotation des cultures a pour objectif d’aider les producteurs de pommes de terre de l’Île-du-Prince-Édouard à évaluer la faisabilité financière d’instaurer des cycles de rotation des cultures prolongés sur leurs exploitations. Il s’appuie sur les valeurs de production des moyennes provinciales en 2022 et 2023 et permet aux utilisateurs de saisir dans une feuille de calcul Excel des données propres à l’exploitation, telles que les cultures sélectionnées, les coûts et les rendements, afin d’évaluer les avantages nets des rotations de cultures sur quatre ans et de les comparer aux rotations conventionnelles sur deux ou trois ans. Des fonctionnalités de personnalisation et d’extension du calculateur permettent de prendre en compte divers ensembles de données afin d’aider les producteurs de pommes de terre à prendre des décisions éclairées sur leurs stratégies de rotation des cultures et à améliorer la durabilité environnementale de leurs exploitations. En diversifiant et en allongeant les cycles de rotation des cultures, les producteurs peuvent potentiellement atténuer l’érosion des sols, améliorer la fertilité des sols, réduire les intrants chimiques, augmenter la productivité des cultures et promouvoir la biodiversité, autant d’éléments qui contribuent à des écosystèmes plus sains et à la viabilité à long terme des pratiques agricoles dans la région.</t>
    </r>
  </si>
  <si>
    <r>
      <rPr>
        <b/>
        <sz val="12"/>
        <color rgb="FF000000"/>
        <rFont val="Arial"/>
        <family val="2"/>
      </rPr>
      <t>Organisation :</t>
    </r>
    <r>
      <rPr>
        <sz val="12"/>
        <color rgb="FF000000"/>
        <rFont val="Arial"/>
        <family val="2"/>
      </rPr>
      <t xml:space="preserve"> Le calculateur de rotation des cultures comporte plusieurs onglets présentant différentes fonctionnalités et caractéristiques de personnalisation que les utilisateurs peuvent explorer. Voici quelques-unes des fonctionnalités : 
•</t>
    </r>
    <r>
      <rPr>
        <b/>
        <sz val="12"/>
        <color theme="5" tint="-0.249977111117893"/>
        <rFont val="Arial"/>
        <family val="2"/>
      </rPr>
      <t>La fonctionnalité « Combinaisons de cultures »</t>
    </r>
    <r>
      <rPr>
        <b/>
        <sz val="12"/>
        <color theme="5"/>
        <rFont val="Arial"/>
        <family val="2"/>
      </rPr>
      <t xml:space="preserve"> </t>
    </r>
    <r>
      <rPr>
        <sz val="12"/>
        <color rgb="FF000000"/>
        <rFont val="Arial"/>
        <family val="2"/>
      </rPr>
      <t>est un onglet facultatif qui permet aux utilisateurs de comparer la rentabilité de différentes rotations de cultures et durées de rotation. Ils peuvent ensuite s’appuyer sur ces informations pour sélectionner des cultures dans le tableau de bord. 
•</t>
    </r>
    <r>
      <rPr>
        <b/>
        <sz val="12"/>
        <color theme="5" tint="-0.249977111117893"/>
        <rFont val="Arial"/>
        <family val="2"/>
      </rPr>
      <t>L’onglet « Tableau de bord »</t>
    </r>
    <r>
      <rPr>
        <sz val="12"/>
        <color rgb="FF000000"/>
        <rFont val="Arial"/>
        <family val="2"/>
      </rPr>
      <t xml:space="preserve"> porte sur les aspects économiques et les applications de pesticides de différentes rotations de cultures et durées de rotation. Il présente des statistiques sur la diversification des bénéfices prévus, les bénéfices annuels cumulés prévus et l’application cumulative de pesticides. 
•</t>
    </r>
    <r>
      <rPr>
        <b/>
        <sz val="12"/>
        <color theme="5" tint="-0.249977111117893"/>
        <rFont val="Arial"/>
        <family val="2"/>
      </rPr>
      <t>Les données de l’onglet « Cultures »</t>
    </r>
    <r>
      <rPr>
        <sz val="12"/>
        <color rgb="FF000000"/>
        <rFont val="Arial"/>
        <family val="2"/>
      </rPr>
      <t xml:space="preserve"> alimentent l’onglet « Tableau de bord ». Il permet aux utilisateurs de saisir des valeurs propres à leurs cultures et à leurs expériences. Plusieurs cellules « Cultures personnalisées » sont laissées volontairement vides afin que les utilisateurs puissent saisir des valeurs pour des cultures qui ne sont pas déjà fournies par l’outil. 
•</t>
    </r>
    <r>
      <rPr>
        <b/>
        <sz val="12"/>
        <color theme="5" tint="-0.249977111117893"/>
        <rFont val="Arial"/>
        <family val="2"/>
      </rPr>
      <t>L’onglet « Comparaison »</t>
    </r>
    <r>
      <rPr>
        <sz val="12"/>
        <color rgb="FF000000"/>
        <rFont val="Arial"/>
        <family val="2"/>
      </rPr>
      <t xml:space="preserve"> permet de comparer chaque rotation du tableau de bord pour la même période et est utilisé pour générer les résultats affichés dans le tableau de bord. Cet onglet peut être modifié pour inclure différentes hypothèses, par exemple des changements dans l’utilisation des pesticides, les applications d’engrais et les rendements des cultures selon certaines rotations. Par défaut, toutes les valeurs sont fixées à un changement de 0 % et les utilisateurs peuvent les rajuster en fonction de leurs observations et de leurs expériences. 
•</t>
    </r>
    <r>
      <rPr>
        <b/>
        <sz val="12"/>
        <color theme="5" tint="-0.249977111117893"/>
        <rFont val="Arial"/>
        <family val="2"/>
      </rPr>
      <t>L’onglet « Références »</t>
    </r>
    <r>
      <rPr>
        <sz val="12"/>
        <color rgb="FF000000"/>
        <rFont val="Arial"/>
        <family val="2"/>
      </rPr>
      <t xml:space="preserve"> contient des valeurs de cultures supplémentaires sur lesquelles les utilisateurs peuvent s’appuyer pour remplir leur onglet « Cultures », ainsi que des sources d’information.</t>
    </r>
  </si>
  <si>
    <r>
      <rPr>
        <b/>
        <sz val="12"/>
        <color rgb="FF000000"/>
        <rFont val="Arial"/>
        <family val="2"/>
      </rPr>
      <t xml:space="preserve">Hypothèses: </t>
    </r>
    <r>
      <rPr>
        <sz val="12"/>
        <color rgb="FF000000"/>
        <rFont val="Arial"/>
      </rPr>
      <t xml:space="preserve">Les résultats générés par le calculateur reposent sur des hypothèses fondées sur des moyennes provinciales et des informations générales. La plupart de ces hypothèses sont intégrées dans le calculateur, mais peuvent être modifiées par l’utilisateur dans les onglets « Cultures » et « Comparaison ». Lorsqu’ils modifient ces hypothèses, les utilisateurs sont encouragés à tenir compte de leur propre expérience en matière de rotation des cultures ainsi que de l’expérience d’autres agriculteurs de leur région, en particulier en ce qui concerne les changements de rendement annuel des cultures, car ceux-ci peuvent être propres à des champs ou à des plans de gestion des cultures. En outre, les utilisateurs peuvent saisir leurs propres hypothèses de changements dans le rendement de la campagne agricole en cours qui découleraient de cultures plantées au cours de campagnes agricoles précédentes, en notant que ces hypothèses sont initialement fixées à un changement de 0 %.                                                                        
                                                                                                                                                                                                                                                                                                                                                                     L’application par le calculateur d’une période d’analyse de 12 ans vise à faciliter les comparaisons entre les différentes durées de rotation des cultures. La période de 12 ans permet de comparer des rotations de différentes durées (2, 3 et 4 ans) sur une base commune.                                                                     
                                                                                                                                                                                                                                                                                                                                                                                       </t>
    </r>
    <r>
      <rPr>
        <b/>
        <sz val="12"/>
        <color rgb="FF000000"/>
        <rFont val="Arial"/>
        <family val="2"/>
      </rPr>
      <t>Avis de non-responsabilité:</t>
    </r>
    <r>
      <rPr>
        <sz val="12"/>
        <color rgb="FF000000"/>
        <rFont val="Arial"/>
      </rPr>
      <t xml:space="preserve"> L’utilisation du calculateur et l’interprétation de ses résultats ne sont fournies qu’à titre d’exemple. Les informations obtenues à partir de ce calculateur ne sont pas – et ne doivent pas être – considérées comme représentatives de résultats garantis. Les valeurs générées reposent sur des hypothèses fondées sur des moyennes provinciales et des informations générales et ne doivent pas être considérées comme des prévisions absolues. Chaque exploitation est unique et la pertinence de ce calculateur pour une situation agricole particulière peut varier en fonction du contexte local, des facteurs climatiques, des conditions du sol et d’autres considérations.  
                                                                                                                                                                                                                                                                                                                                                                                        Les utilisateurs doivent vérifier les résultats produits par le calculateur avant d’apporter des changements importants à leur plan de gestion. Il est recommandé de consulter un agronome local et de toujours respecter les lois provinciales et fédérales, y compris la Crop Rotation Act de l’Î.-P.-É., avant de mettre en œuvre tout changement. Les créateurs de ce calculateur n’acceptent aucune responsabilité quant aux pertes ou obligations découlant de son utilisation par toute personne ou entreprise.</t>
    </r>
  </si>
  <si>
    <r>
      <rPr>
        <b/>
        <sz val="12"/>
        <color rgb="FF000000"/>
        <rFont val="Arial"/>
        <family val="2"/>
      </rPr>
      <t>Propriété et élaboration</t>
    </r>
    <r>
      <rPr>
        <sz val="12"/>
        <color rgb="FF000000"/>
        <rFont val="Arial"/>
        <family val="2"/>
      </rPr>
      <t>: Le calculateur a été élaboré par Agriculture et Agroalimentaire Canada (AAC) en collaboration avec le PEI Potato Board et d’autres participants du Laboratoire vivant de l’Atlantique.</t>
    </r>
    <r>
      <rPr>
        <sz val="12"/>
        <color rgb="FF000000"/>
        <rFont val="Arial"/>
      </rPr>
      <t xml:space="preserve">
 </t>
    </r>
  </si>
  <si>
    <r>
      <t>Remerciements:</t>
    </r>
    <r>
      <rPr>
        <sz val="12"/>
        <rFont val="Arial"/>
        <family val="2"/>
      </rPr>
      <t xml:space="preserve"> Nous remercions le personnel d’AAC, le PEI Potato Board, les participants du Laboratoire vivant de l’Atlantique et les producteurs anonymes qui ont fourni des valeurs réelles provenant de leurs exploitations et qui ont contribué à la mise au point et à la révision du calculateur.</t>
    </r>
  </si>
  <si>
    <t>© Sa Majesté le Roi du chef du Canada, représenté par la ministre de l’Agriculture et de l’Agroalimentaire (2024).</t>
  </si>
  <si>
    <t>Explication des cellules</t>
  </si>
  <si>
    <t>Toutes les valeurs ajoutées dans le calculateur apparaissent en orange. Elles peuvent être modifiées.</t>
  </si>
  <si>
    <t>Valeur saisie</t>
  </si>
  <si>
    <t>Toutes les valeurs provenant d’un autre onglet apparaissent en vert. Elles ne peuvent être modifiées que dans leur onglet d’origine.</t>
  </si>
  <si>
    <t>Valeur liée</t>
  </si>
  <si>
    <t>Toutes les valeurs fixes apparaissent en blanc. Il s’agit de valeurs préinscrites qui ne peuvent être modifiées.</t>
  </si>
  <si>
    <t xml:space="preserve">Valeur fixe </t>
  </si>
  <si>
    <t>Toutes les listes déroulantes apparaissent en bleu. En sélectionnant la cellule bleue, une flèche apparaîtra pour révéler une liste déroulante.</t>
  </si>
  <si>
    <t>Liste déroulante ▼</t>
  </si>
  <si>
    <t>Toutes les valeurs totales apparaissent en gris.
Elles sont modifiées indirectement. Les deux premiers totaux partiels sont en gris clair, et le total final est en gris foncé.</t>
  </si>
  <si>
    <t>Valeur totale finale</t>
  </si>
  <si>
    <t>Total partiel 2</t>
  </si>
  <si>
    <t>Total partiel 1</t>
  </si>
  <si>
    <t>Les cellules en damier permettent de modifier les valeurs actuelles. Une fois les valeurs saisies, la cellule devient orange avec un crochet vert.</t>
  </si>
  <si>
    <t>Sélection des cultures</t>
  </si>
  <si>
    <t>Ce calculateur contient des informations prédéfinies sur certaines cultures, qui sont énumérées ci-dessous.
Vous avez la possibilité de choisir « Culture personnalisée » si la culture souhaitée n’est pas répertoriée ici.
Aucune valeur prédéfinie n’est associée aux cultures personnalisées.</t>
  </si>
  <si>
    <t>Culture</t>
  </si>
  <si>
    <t>Données sur les coûts et les revenus dans l’onglet « Cultures », dans les colonnes suivantes</t>
  </si>
  <si>
    <t>Orge</t>
  </si>
  <si>
    <t>J</t>
  </si>
  <si>
    <t>Sarrasin</t>
  </si>
  <si>
    <t>M</t>
  </si>
  <si>
    <t>Canola</t>
  </si>
  <si>
    <t>Maïs</t>
  </si>
  <si>
    <t>S</t>
  </si>
  <si>
    <t>Culture fourragère (An 1)</t>
  </si>
  <si>
    <t>V</t>
  </si>
  <si>
    <t>Culture fourragère (An 2)</t>
  </si>
  <si>
    <t>Y</t>
  </si>
  <si>
    <t>Moutarde (brune)</t>
  </si>
  <si>
    <t>AB</t>
  </si>
  <si>
    <t>Avoine</t>
  </si>
  <si>
    <t>AE</t>
  </si>
  <si>
    <t>Pommes de terre</t>
  </si>
  <si>
    <t>G</t>
  </si>
  <si>
    <t>Soja</t>
  </si>
  <si>
    <t>AH</t>
  </si>
  <si>
    <t>Blé (printemps)</t>
  </si>
  <si>
    <t>AK</t>
  </si>
  <si>
    <t>Blé (hiver)</t>
  </si>
  <si>
    <t>AN</t>
  </si>
  <si>
    <t xml:space="preserve">Abréviations </t>
  </si>
  <si>
    <t>Tout au long de ce guide, les différents cycles de rotation sont représentés par leurs durées correspondantes en années, à savoir des rotations de 2, 3 et 4 années, abrégées ainsi : 2A, 3A et 4A.</t>
  </si>
  <si>
    <t>Définitions</t>
  </si>
  <si>
    <t>Les termes fréquemment utilisés sont expliqués ci-dessous.</t>
  </si>
  <si>
    <t xml:space="preserve">Valeur actualisée nette (VAN) </t>
  </si>
  <si>
    <t>Valeur actualisée nette (VAN) [bénéfices prévus]) – la valeur actualisée nette (VAN) [bénéfices prévus] est la somme des bénéfices prévus dans les années à venir en valeur monétaire actuelle.</t>
  </si>
  <si>
    <t xml:space="preserve">Taux d’actualisation </t>
  </si>
  <si>
    <t xml:space="preserve"> Le taux d’actualisation reflète le coût d’option du capital. Par exemple, garder l’argent dans un compte d’épargne au lieu de l’investir dans la culture. Il peut s’agir du taux de rendement d’un autre projet ou des profits placés dans un compte d’épargne. Par exemple, des pommes de terre ont été produites au cours de la période 1 et le gain reçu de leur production (Gp) au moment 1 est de 100 $. Si nous supposons que le gain est déposé dans un compte d’épargne rapportant 3 % d’intérêts, le montant gagné grâce à la production de pommes de terre sera de 103 $ au moment 2. La valeur actuelle de ces 100 $ est de 97 $ au moment 0.</t>
  </si>
  <si>
    <t xml:space="preserve">Taux d’inflation </t>
  </si>
  <si>
    <t>L’inflation (ou la déflation) est le taux d’augmentation (ou de diminution) du niveau moyen des prix au fil du temps. L’inflation est mesurée par l’indice des prix à la consommation (IPC). Si nous supposons que l’inflation sera de 2 % l’année prochaine, ce qui est le taux cible selon la Banque du Canada, un ensemble donné de biens et de services qui coûte 100 $ aujourd’hui, coûtera 102 $ l’année prochaine. Ainsi, la même somme d’argent aujourd’hui ne permet pas d’acheter autant l’année prochaine. Par exemple, si le coût initial des semences et du matériel est de 100 $ et que les revenus au moment 0² sont de 200 $, ces mêmes semences et ce même matériel coûteront 102 $ au temps 1, si l’on suppose que le taux d’inflation est de 2 % entre le temps 0 et le temps 1. Pour calculer les bénéfices prévus totaux, le taux d’inflation futur s’élèverait à 2 %, ce qui peut être modifié dans la cellule C79 de l’onglet « Comparaison ».</t>
  </si>
  <si>
    <t xml:space="preserve">Le taux d’actualisation rajusté en fonction de l’inflation est une combinaison du taux d’intérêt et du taux d’inflation. Les deux ont été expliqués individuellement auparavant. </t>
  </si>
  <si>
    <t>The inflation-adjusted discount rate is a combination of both interest rate and inflation rate. Both were explained individually precendenty.</t>
  </si>
  <si>
    <t xml:space="preserve">          En utilisant les valeurs des exemples précédents, nous obtenons un taux d’actualisation de 0,98 %.</t>
  </si>
  <si>
    <t xml:space="preserve">                                                              d = (1+3%)/(1+2%) -1 = 0.98%</t>
  </si>
  <si>
    <t>Valeur actuelle nette (VAN) [bénéfices prévus] de différentes rotations de cultures</t>
  </si>
  <si>
    <t>Cet onglet facultatif vous permet d’explorer différentes combinaisons de cultures, ce qui peut faciliter la planification agricole en cernant les combinaisons de cultures les plus rentables en fonction des différentes durées de rotation. Cet onglet peut vous aider à sélectionner les combinaisons de cultures dans le tableau de bord.</t>
  </si>
  <si>
    <t>Étape 1: Assurez-vous que la « combinaison de cultures du tableau de bord » (colonne C) est celle avec laquelle vous souhaitez effectuer des comparaisons. Pour modifier ces cultures, allez dans le tableau de bord et sélectionnez les cultures que vous souhaitez comparer dans les cellules C33 à E36.</t>
  </si>
  <si>
    <t>Étape 2: Pour chaque année des différentes rotations, sélectionnez l’autre combinaison de cultures que vous souhaitez explorer dans les colonnes E, G, I et K.</t>
  </si>
  <si>
    <t>liste déroulante ▼</t>
  </si>
  <si>
    <t>Étape 3: Évaluez les différentes combinaisons de cultures et longueurs de rotation que vous souhaitez explorer davantage dans le tableau de bord en examinant la VAN sur une période d’analyse de 12 ans.</t>
  </si>
  <si>
    <r>
      <rPr>
        <b/>
        <sz val="12"/>
        <color rgb="FF000000"/>
        <rFont val="Arial"/>
        <family val="2"/>
      </rPr>
      <t>Remarque:</t>
    </r>
    <r>
      <rPr>
        <sz val="12"/>
        <color rgb="FF000000"/>
        <rFont val="Arial"/>
        <family val="2"/>
      </rPr>
      <t xml:space="preserve"> Les résultats de cet onglet doivent être interprétés avec prudence par les utilisateurs, car ils reposent sur des simplifications qui peuvent ne pas refléter pleinement les complexités du monde réel. Les hypothèses relatives à l’augmentation des rendements et aux intrants agrochimiques ne s’appliquent pas ici.</t>
    </r>
  </si>
  <si>
    <t>Rotation de 2 ans</t>
  </si>
  <si>
    <t>Combinaison du tableau de bord</t>
  </si>
  <si>
    <t>Autre combinaison de cultures no 1</t>
  </si>
  <si>
    <t>Autre combinaison de cultures no 2</t>
  </si>
  <si>
    <t>Autre combinaison de cultures no 3</t>
  </si>
  <si>
    <t>Autre combinaison de cultures no 4</t>
  </si>
  <si>
    <t>Anne</t>
  </si>
  <si>
    <t>Combinaison de cultures</t>
  </si>
  <si>
    <t>Cultures choisies</t>
  </si>
  <si>
    <t>Rotation de 3 ans</t>
  </si>
  <si>
    <t>Year</t>
  </si>
  <si>
    <t>Rotation de 4 ans</t>
  </si>
  <si>
    <t>The table below displays how the sum of projected earnings changes: over the 1st cycle and over the next 12 years.</t>
  </si>
  <si>
    <t>Projected earnings variation</t>
  </si>
  <si>
    <t>Crop combination</t>
  </si>
  <si>
    <t>NPV over cycle 1</t>
  </si>
  <si>
    <t>Variation from original 2Y, 3Y, and 4Y</t>
  </si>
  <si>
    <t>NPV over 12 years</t>
  </si>
  <si>
    <t>Variation from original 2Y</t>
  </si>
  <si>
    <t>-</t>
  </si>
  <si>
    <t xml:space="preserve">Instructions </t>
  </si>
  <si>
    <r>
      <t xml:space="preserve">Étape 1 : </t>
    </r>
    <r>
      <rPr>
        <b/>
        <sz val="12"/>
        <color theme="1"/>
        <rFont val="Arial"/>
        <family val="2"/>
      </rPr>
      <t xml:space="preserve">Saisissez l’année en cours dans la cellule H3. </t>
    </r>
  </si>
  <si>
    <t>Anne en cours (An 0)</t>
  </si>
  <si>
    <t>CPI</t>
  </si>
  <si>
    <r>
      <rPr>
        <b/>
        <u/>
        <sz val="12"/>
        <rFont val="Arial"/>
        <family val="2"/>
      </rPr>
      <t xml:space="preserve">Remarque : </t>
    </r>
    <r>
      <rPr>
        <sz val="12"/>
        <rFont val="Arial"/>
        <family val="2"/>
      </rPr>
      <t>Cette étape permet aux utilisateurs d’ajuster les montants actuels pour tenir compte de l’inflation et de comparer plus précisément les coûts et les revenus des différentes cultures.</t>
    </r>
  </si>
  <si>
    <t xml:space="preserve"> Le calculateur s’appuie sur les données historiques de l’IPC fournies par le site Web de la banque centrale (lien dans l’onglet « Références ») jusqu’à l’année 2023.</t>
  </si>
  <si>
    <t xml:space="preserve">Par défaut, cette valeur est fixée à 2023. Si vous entrez une année antérieure à 2000 ou postérieure à 2023, le calculateur supposera que le taux d’inflation reste </t>
  </si>
  <si>
    <t>le même qu’en 2023. Si vous sélectionnez « An 0 » de la rotation entre 2000 et 2023, l’IPC approprié sera appliqué à ces données.</t>
  </si>
  <si>
    <r>
      <t xml:space="preserve">Étape 2 : </t>
    </r>
    <r>
      <rPr>
        <b/>
        <sz val="12"/>
        <color theme="1"/>
        <rFont val="Arial"/>
        <family val="2"/>
      </rPr>
      <t>Sélectionnez la combinaison de cultures pour chaque année dans les cellules C33 à E36.</t>
    </r>
  </si>
  <si>
    <t>Sélectionnez les cultures pour chaque rotation en cliquant sur les cellules bleues; une flèche apparaîtra alors pour révéler une liste déroulante.</t>
  </si>
  <si>
    <t>Il est recommandé de commencer la rotation (An 1) par des pommes de terre.</t>
  </si>
  <si>
    <t>Si la culture souhaitée ne figure pas dans la liste, vous pouvez sélectionner « Cultures personnalisées » et modifier les valeurs en suivant les instructions de l’onglet « Cultures ».</t>
  </si>
  <si>
    <r>
      <rPr>
        <b/>
        <u/>
        <sz val="12"/>
        <color theme="1"/>
        <rFont val="Arial"/>
        <family val="2"/>
      </rPr>
      <t xml:space="preserve">Étape 3 : </t>
    </r>
    <r>
      <rPr>
        <b/>
        <sz val="12"/>
        <color theme="1"/>
        <rFont val="Arial"/>
        <family val="2"/>
      </rPr>
      <t>Résultats et interprétation</t>
    </r>
  </si>
  <si>
    <t>Les définitions des termes financiers utilisés ici (VAN, etc.) se trouvent dans l’onglet Introduction.</t>
  </si>
  <si>
    <t xml:space="preserve">Une fois toutes les cultures sélectionnées, les bénéfices prévus attendus pour un cycle complet sont calculés (dans les cellules C37, D37 et E37) en utilisant les coûts et les </t>
  </si>
  <si>
    <t>revenus prédéfinis associés à chaque culture. Si les valeurs prédéfinies ne correspondent pas aux attentes de votre exploitation, vous pouvez rajuster les coûts et les revenus dans l’onglet « Cultures ».</t>
  </si>
  <si>
    <t>Le cycle le plus avantageux apparaît dans la cellule F62. La valeur représente la VAN la plus élevée sur les 12 années allant de la cellule F61 à H61.</t>
  </si>
  <si>
    <t>Les calculs utilisés pour déterminer le système le plus avantageux ne sont pas présentés dans cet onglet, mais ils figurent dans l’onglet « Comparaison ».</t>
  </si>
  <si>
    <t>Pour comparer les trois longueurs de rotation, chaque cycle de rotation est répété jusqu’à ce que le même nombre d’années totales (12 ans) soit atteint.</t>
  </si>
  <si>
    <t>En effet, il n’est pas possible de comparer directement une rotation de 3 ans à une rotation de 4 ans, puisqu’il y a une année de production supplémentaire. Pour compléter les comparaisons, la rotation de cultures de 2 ans est répétée pendant 6 cycles, la rotation de cultures de 3 ans est répétée pendant</t>
  </si>
  <si>
    <t>4 cycles et la rotation de cultures de 4 ans est répétée pendant 3 cycles. Il en résulte 12 périodes de flux de trésorerie.</t>
  </si>
  <si>
    <t xml:space="preserve">Les hypothèses de l’onglet « Comparaison » modifieront les résultats du tableau de bord. Par défaut, elles sont fixées à 0, mais peuvent être modifiées </t>
  </si>
  <si>
    <t>en suivant les instructions de l’onglet « Comparaison ».</t>
  </si>
  <si>
    <t xml:space="preserve">Les ratios coûts-revenus moyens apparaissent dans les cellules F33 à H36. Ces ratios pour une culture donnée peuvent varier en fonction de certaines hypothèses </t>
  </si>
  <si>
    <t>telles que les rendements (voir l’onglet « Comparaison » pour plus de détails ou pour procéder à des rajustements).</t>
  </si>
  <si>
    <t>Durée du cycle de rotation</t>
  </si>
  <si>
    <t>Ratio coûts-revenus moyen</t>
  </si>
  <si>
    <t>Année</t>
  </si>
  <si>
    <t>De 2 ans (2A)</t>
  </si>
  <si>
    <t>De 3 ans (3A)</t>
  </si>
  <si>
    <t>De 4 ans (4A)</t>
  </si>
  <si>
    <t xml:space="preserve"> Sur 6 cycles</t>
  </si>
  <si>
    <t>Sur 4 cycles</t>
  </si>
  <si>
    <t>Sur 3 cycles</t>
  </si>
  <si>
    <t>VAN sur 1 cycle ($/acre)</t>
  </si>
  <si>
    <t>Diversification des bénéfices prévus</t>
  </si>
  <si>
    <t>4  ans ci-dessus. La barre bleue correspond à l’année 1, la barre orange à l’année 2, la barre grise à l’année 3 et la barre jaune à l’année 4. Plus la surface de la</t>
  </si>
  <si>
    <t xml:space="preserve">barre est importante pour une culture donnée, plus la proportion des bénéfices totaux qui devraient provenir de cette culture est élevée. Toutefois, si la culture n’est </t>
  </si>
  <si>
    <t>pas rentable (c’est-à-dire la culture fourragère de l’année 1 ou les cultures de couverture), elle n’apparaîtra pas dans le tableau, car il n’y a pas de bénéfices pour ces cultures particulières.</t>
  </si>
  <si>
    <t>Comparison</t>
  </si>
  <si>
    <t xml:space="preserve">To compare the three rotation lengths, each rotation cycle is repeated until the same number of total years is achieved. 
</t>
  </si>
  <si>
    <t xml:space="preserve">This is because you cannot directly compare a 3-year rotation to a 4-year, as there is another production year. To complete the comparisons, </t>
  </si>
  <si>
    <t xml:space="preserve">the 2-year crop rotation is repeated for six cycles, the 3-year crop rotation is repeated for four cycles, and the 4-year crop rotation is repeated for three cycles. </t>
  </si>
  <si>
    <t>This results in 12 cash flow periods.</t>
  </si>
  <si>
    <t xml:space="preserve"> 2 ans</t>
  </si>
  <si>
    <t xml:space="preserve"> 3 ans</t>
  </si>
  <si>
    <t xml:space="preserve"> 4 ans</t>
  </si>
  <si>
    <t>VAN du revenu d’exploitation net sur 12 ans ($/acre)</t>
  </si>
  <si>
    <r>
      <rPr>
        <b/>
        <u/>
        <sz val="12"/>
        <color theme="1"/>
        <rFont val="Arial"/>
        <family val="2"/>
      </rPr>
      <t>Note:</t>
    </r>
    <r>
      <rPr>
        <sz val="12"/>
        <color theme="1"/>
        <rFont val="Arial"/>
        <family val="2"/>
      </rPr>
      <t xml:space="preserve"> The calculations used to determine the NPV are in the "Comparison" tab.</t>
    </r>
  </si>
  <si>
    <r>
      <rPr>
        <b/>
        <u/>
        <sz val="12"/>
        <rFont val="Arial"/>
        <family val="2"/>
      </rPr>
      <t>Note de bas de page:</t>
    </r>
    <r>
      <rPr>
        <b/>
        <sz val="12"/>
        <rFont val="Arial"/>
        <family val="2"/>
      </rPr>
      <t xml:space="preserve"> </t>
    </r>
    <r>
      <rPr>
        <sz val="12"/>
        <rFont val="Arial"/>
        <family val="2"/>
      </rPr>
      <t>Ce graphique présente deux séries de données. L’axe de gauche représente la somme des bénéfices annuels prévus pour les 12 prochaines années, sur la base des cultures sélectionnées et des hypothèses formulées dans le calculateur. Il s’agit notamment de l’évolution des rendements annuels des cultures et de la quantité de produits agrochimiques utilisés au fil du temps. L’axe de droite représente le nombre cumulé d’applications de pesticides prévu au cours des 12 prochaines années, sur la base des cultures sélectionnées et des hypothèses formulées dans le calculateur.</t>
    </r>
  </si>
  <si>
    <t xml:space="preserve"> </t>
  </si>
  <si>
    <t>Revenu d’exploitation net pour chaque sélection de cultures</t>
  </si>
  <si>
    <t>Instructions</t>
  </si>
  <si>
    <r>
      <rPr>
        <b/>
        <u/>
        <sz val="12"/>
        <color theme="1"/>
        <rFont val="Arial"/>
        <family val="2"/>
      </rPr>
      <t xml:space="preserve">Étape 1 : </t>
    </r>
    <r>
      <rPr>
        <b/>
        <sz val="12"/>
        <color theme="1"/>
        <rFont val="Arial"/>
        <family val="2"/>
      </rPr>
      <t xml:space="preserve">Dans le tableau ci-dessous, vérifiez si les « valeurs finales » (en vert) sont exactes. </t>
    </r>
  </si>
  <si>
    <t>: Si elles sont incorrectes, vous pouvez les modifier en introduisant une nouvelle valeur dans la cellule en damier intitulée « Valeurs saisies », qui se trouve à droite de la colonne «Valeurs prédéfinies ».</t>
  </si>
  <si>
    <t>: Toutes les cellules dans lesquelles vous saisissez une valeur remplacent les valeurs prédéfinies dans les cellules correspondantes.</t>
  </si>
  <si>
    <t>: Une fois que vous avez modifié la valeur avec succès, la cellule devient orange avec un crochet vert. La case « Valeur finale » affichera désormais la valeur saisie au lieu de la valeur prédéfinie.</t>
  </si>
  <si>
    <t>: Plusieurs cases « Cultures personnalisées » sont laissées volontairement vides afin que les utilisateurs puissent saisir leurs propres valeurs ou ajouter des cultures qui n’ont pas été prises en compte par l’outil. Le nom de la culture (C25 à F25) peut être modifié en sélectionnant les cellules. Les utilisateurs peuvent modifier les cases « Valeurs saisies » pour y indiquer les valeurs de leur choix.</t>
  </si>
  <si>
    <t>z</t>
  </si>
  <si>
    <t>: Si certaines cultures ne sont pas récoltées ou sont partiellement récoltées (p. ex., les cultures fourragères, le sarrasin et la moutarde), le rendement commercialisable est fixé à 0 ou à la proportion récoltée multipliée par le rendement.</t>
  </si>
  <si>
    <r>
      <rPr>
        <b/>
        <u/>
        <sz val="12"/>
        <color theme="1"/>
        <rFont val="Arial"/>
        <family val="2"/>
      </rPr>
      <t xml:space="preserve">Étape 2 : </t>
    </r>
    <r>
      <rPr>
        <b/>
        <sz val="12"/>
        <color theme="1"/>
        <rFont val="Arial"/>
        <family val="2"/>
      </rPr>
      <t>Après avoir vérifié les valeurs, consultez les onglets « Tableau de bord » et « Comparaison ».</t>
    </r>
  </si>
  <si>
    <r>
      <t xml:space="preserve">     </t>
    </r>
    <r>
      <rPr>
        <b/>
        <u/>
        <sz val="12"/>
        <rFont val="Arial"/>
        <family val="2"/>
      </rPr>
      <t>Note 1:</t>
    </r>
    <r>
      <rPr>
        <sz val="12"/>
        <rFont val="Arial"/>
        <family val="2"/>
      </rPr>
      <t xml:space="preserve"> The values used within the Crops table was collected through personal communications with collaborating growers, grower organizations, and online resources. </t>
    </r>
  </si>
  <si>
    <r>
      <rPr>
        <b/>
        <u/>
        <sz val="12"/>
        <rFont val="Arial"/>
        <family val="2"/>
      </rPr>
      <t xml:space="preserve">Remarque 1 </t>
    </r>
    <r>
      <rPr>
        <sz val="12"/>
        <rFont val="Arial"/>
        <family val="2"/>
      </rPr>
      <t xml:space="preserve">: Les valeurs figurant dans l’onglet « Cultures » ont été recueillies au moyen de communications personnelles avec des producteurs collaborateurs, des organisations de producteurs et des ressources en ligne. </t>
    </r>
  </si>
  <si>
    <t xml:space="preserve">                   Values were taken for or adjusted for PEI growing practices, where possible, and then adjusted to 2023 values considering the CPI.</t>
  </si>
  <si>
    <t>: Les valeurs ont été prises ou rajustées pour les pratiques agricoles de l’Î.-P.-É., dans la mesure du possible, puis rajustées aux valeurs de 2023 en tenant compte de l’IPC.</t>
  </si>
  <si>
    <r>
      <t xml:space="preserve">Remarque 2 : </t>
    </r>
    <r>
      <rPr>
        <b/>
        <sz val="12"/>
        <rFont val="Arial"/>
        <family val="2"/>
      </rPr>
      <t>Valeurs des cultures</t>
    </r>
  </si>
  <si>
    <t>a. Les valeurs des pommes de terre sont basées sur les pommes de terre destinées à la transformation.
b. En raison de la nature de la production de cultures fourragères pérennes, les cultures fourragères font l’objet de deux sélections : l’année d’établissement et l’année de production. Au cours de l’année d’établissement, certains coûts d’exploitation sont plus élevés tandis que les revenus sont plus faibles en raison de l’établissement d’une culture fourragère. Dans les années de production, certains coûts d’exploitation sont moins élevés, alors que les revenus sont plus importants. 
c. Les valeurs pour le sarrasin et la moutarde sont fondées sur la récolte et la vente. Si ces cultures sont utilisées comme une culture de couverture dans un système de double culture, le rendement commercialisable devrait être réduit à 0, tandis que les coûts d’exploitation devraient augmenter.
d. Les valeurs pour l’orge, le blé de printemps, le blé d’hiver et l’avoine sont fondées sur la récolte du grain uniquement. Si vous souhaitez prendre en compte la combinaison des céréales et de la paille, vous trouverez les valeurs dans l’onglet « Références » et pourrez ensuite les intégrer dans votre sélection personnalisée de cultures.
e. Les valeurs pour le maïs ne concernent que le grain. Si vous souhaitez inclure l’ensilage, vous trouverez les valeurs dans l’onglet « Références » et pourrez ensuite les intégrer dans votre sélection personnalisée de cultures.
f. Les valeurs pour le canola et le soja sont fondées sur des systèmes de production prêts pour les herbicides (c’est-à-dire « RoundUp-Ready »).</t>
  </si>
  <si>
    <t>Tableau des options de cultures</t>
  </si>
  <si>
    <t>Culture personnalisée 1</t>
  </si>
  <si>
    <t>Culture personnalisée 2</t>
  </si>
  <si>
    <t>Culture personnalisée 3</t>
  </si>
  <si>
    <t>Culture personnalisée 4</t>
  </si>
  <si>
    <t>preset value sourced from</t>
  </si>
  <si>
    <r>
      <t>PEI</t>
    </r>
    <r>
      <rPr>
        <vertAlign val="superscript"/>
        <sz val="12"/>
        <rFont val="Arial"/>
        <family val="2"/>
      </rPr>
      <t>4</t>
    </r>
    <r>
      <rPr>
        <sz val="12"/>
        <color theme="1"/>
        <rFont val="Arial"/>
        <family val="2"/>
      </rPr>
      <t/>
    </r>
  </si>
  <si>
    <r>
      <t>PEI</t>
    </r>
    <r>
      <rPr>
        <vertAlign val="superscript"/>
        <sz val="12"/>
        <rFont val="Arial"/>
        <family val="2"/>
      </rPr>
      <t>4</t>
    </r>
  </si>
  <si>
    <r>
      <t>Saskatchewan</t>
    </r>
    <r>
      <rPr>
        <vertAlign val="superscript"/>
        <sz val="12"/>
        <rFont val="Arial"/>
        <family val="2"/>
      </rPr>
      <t>3</t>
    </r>
  </si>
  <si>
    <t>CPI of the given year</t>
  </si>
  <si>
    <t>Revenus agricoles (+ $/acres)</t>
  </si>
  <si>
    <t>Valeurs saisies</t>
  </si>
  <si>
    <t>Valeurs finales</t>
  </si>
  <si>
    <t>Valeurs prédéfinies</t>
  </si>
  <si>
    <t>Rendement commercialisable (unité/acre)</t>
  </si>
  <si>
    <t>Prix cible ($/unité)</t>
  </si>
  <si>
    <t>Prime ($/unité)</t>
  </si>
  <si>
    <t>cwt</t>
  </si>
  <si>
    <t>tonne</t>
  </si>
  <si>
    <t>bu</t>
  </si>
  <si>
    <t>Mt</t>
  </si>
  <si>
    <t>lb</t>
  </si>
  <si>
    <t>MT</t>
  </si>
  <si>
    <t>Revenu total des ventes ($/acre)</t>
  </si>
  <si>
    <t>Autres revenus agricoles</t>
  </si>
  <si>
    <t>Total des revenus ($/acre)</t>
  </si>
  <si>
    <t>Coûts variables (-$/acre)</t>
  </si>
  <si>
    <t>Engrais</t>
  </si>
  <si>
    <t>Pesticides ou d’herbicides</t>
  </si>
  <si>
    <t>Travail sur commande pour l’application d’engrais, de pesticides ou d’herbicides</t>
  </si>
  <si>
    <t>Coûts d’exploitation non variables (-$/acres)</t>
  </si>
  <si>
    <t>Semences avec ou sans traitement et coupe</t>
  </si>
  <si>
    <t>Machinerie</t>
  </si>
  <si>
    <t>Entretien et réparation de la machinerie</t>
  </si>
  <si>
    <t>Carburant utilisé dans les champs (autre)</t>
  </si>
  <si>
    <t xml:space="preserve"> système d’irrigation</t>
  </si>
  <si>
    <t>Carburant pour le système d’irrigation</t>
  </si>
  <si>
    <t>Entreposage</t>
  </si>
  <si>
    <t>Séchage</t>
  </si>
  <si>
    <t>Transport routier</t>
  </si>
  <si>
    <t>Autres coûts</t>
  </si>
  <si>
    <t>Total des coûts d’exploitation non variables ($/acre)</t>
  </si>
  <si>
    <t>Coût total ($/acre)</t>
  </si>
  <si>
    <t>Revenu d’exploitation net ($/acre)</t>
  </si>
  <si>
    <t>Pesticides</t>
  </si>
  <si>
    <t>Nombre d’applications de pesticides</t>
  </si>
  <si>
    <r>
      <rPr>
        <vertAlign val="superscript"/>
        <sz val="12"/>
        <color theme="1"/>
        <rFont val="Arial"/>
        <family val="2"/>
      </rPr>
      <t>1</t>
    </r>
    <r>
      <rPr>
        <sz val="12"/>
        <color theme="1"/>
        <rFont val="Arial"/>
        <family val="2"/>
      </rPr>
      <t xml:space="preserve"> L’année au cours de laquelle les frais ont été engagés.</t>
    </r>
  </si>
  <si>
    <t>Une fois l’année saisie, le nombre sera ajusté en fonction de l’inflation afin d’obtenir une base monétaire commune.</t>
  </si>
  <si>
    <r>
      <rPr>
        <vertAlign val="superscript"/>
        <sz val="12"/>
        <color theme="1"/>
        <rFont val="Arial"/>
        <family val="2"/>
      </rPr>
      <t>2</t>
    </r>
    <r>
      <rPr>
        <sz val="12"/>
        <color theme="1"/>
        <rFont val="Arial"/>
        <family val="2"/>
      </rPr>
      <t xml:space="preserve"> The orginal values from Manitoba come from the Government of Manitoba (https://www.gov.mb.ca/agriculture/farm-management/production-economics/cost-of-production.html). </t>
    </r>
  </si>
  <si>
    <r>
      <rPr>
        <vertAlign val="superscript"/>
        <sz val="12"/>
        <color theme="1"/>
        <rFont val="Arial"/>
        <family val="2"/>
      </rPr>
      <t xml:space="preserve">3 </t>
    </r>
    <r>
      <rPr>
        <sz val="12"/>
        <color theme="1"/>
        <rFont val="Arial"/>
        <family val="2"/>
      </rPr>
      <t>The orginal values from Saskatchewan come from the Government of Saskatchewan (https://www.saskatchewan.ca/business/agriculture-natural-resources-and-industry/agribusiness-farmers-and-ranchers/farm-business-management/crop-planning-guide-and-crop-planner)</t>
    </r>
  </si>
  <si>
    <r>
      <rPr>
        <vertAlign val="superscript"/>
        <sz val="12"/>
        <color theme="1"/>
        <rFont val="Arial"/>
        <family val="2"/>
      </rPr>
      <t>4</t>
    </r>
    <r>
      <rPr>
        <sz val="12"/>
        <color theme="1"/>
        <rFont val="Arial"/>
        <family val="2"/>
      </rPr>
      <t xml:space="preserve"> The values were estimated for PEI.</t>
    </r>
  </si>
  <si>
    <t>Net operating income table</t>
  </si>
  <si>
    <t>Length of the rotation cycle</t>
  </si>
  <si>
    <t>2 years</t>
  </si>
  <si>
    <t>3 years</t>
  </si>
  <si>
    <t>4 years</t>
  </si>
  <si>
    <t>Rotation cycle</t>
  </si>
  <si>
    <t>1st</t>
  </si>
  <si>
    <t>Select crops</t>
  </si>
  <si>
    <t>Total variable operating costs ($/acre)</t>
  </si>
  <si>
    <t>Total operating costs ($/acre)</t>
  </si>
  <si>
    <t>Total on-farm revenue ($/acre)</t>
  </si>
  <si>
    <t>Net income ($/acre)</t>
  </si>
  <si>
    <t>Revenue–cost ratio (%)</t>
  </si>
  <si>
    <t>Comparer le revenu d’exploitation net de différentes rotations de cultures</t>
  </si>
  <si>
    <t>La modification des hypothèses et des taux dans cet onglet changera le revenu prévu sur 12 ans. En modifiant les valeurs de cet onglet, les changements associés à la durée de la rotation s’affichent. L’incidence de ces changements sur le revenu net apparaîtra dans l’onglet Tableau de bord.</t>
  </si>
  <si>
    <r>
      <t xml:space="preserve">Étape 1 : </t>
    </r>
    <r>
      <rPr>
        <b/>
        <sz val="12"/>
        <color theme="1"/>
        <rFont val="Arial"/>
        <family val="2"/>
      </rPr>
      <t>Vérifiez que les cultures appropriées sont affichées.</t>
    </r>
  </si>
  <si>
    <t>Pour chaque année, les cultures sélectionnées dans le tableau de bord apparaîtront à la ligne 37.  Pour modifier ces recadrages, retournez au tableau de bord et changez de recadrages.</t>
  </si>
  <si>
    <r>
      <rPr>
        <b/>
        <u/>
        <sz val="12"/>
        <color theme="1"/>
        <rFont val="Arial"/>
        <family val="2"/>
      </rPr>
      <t xml:space="preserve">Étape 2 : </t>
    </r>
    <r>
      <rPr>
        <b/>
        <sz val="12"/>
        <color theme="1"/>
        <rFont val="Arial"/>
        <family val="2"/>
      </rPr>
      <t xml:space="preserve"> Vérifiez que les hypothèses de comparaison des rotations sont correctes.</t>
    </r>
  </si>
  <si>
    <t>En modifiant des hypothèses, vous pourrez mieux comprendre l’effet des différents scénarios sur vos résultats au cours des 12 prochaines années.</t>
  </si>
  <si>
    <t xml:space="preserve">Par défaut, les « valeurs prédéfinies » sont fixées à 0 %, mais elles peuvent être modifiées en saisissant un pourcentage (+/-) dans les cases en damier situées sous la valeur que vous souhaitez modifier. Voir le format : </t>
  </si>
  <si>
    <t xml:space="preserve">Une fois que vous avez modifié la valeur, la case prend le format suivant : cellule orange avec un crochet vert. </t>
  </si>
  <si>
    <t>Les changements apportés à ces hypothèses seront affichés dans le tableau du revenu d’exploitation net ci-dessous.</t>
  </si>
  <si>
    <r>
      <rPr>
        <b/>
        <u/>
        <sz val="12"/>
        <color rgb="FF000000"/>
        <rFont val="Arial"/>
      </rPr>
      <t xml:space="preserve">Remarque 1 : </t>
    </r>
    <r>
      <rPr>
        <sz val="12"/>
        <color rgb="FF000000"/>
        <rFont val="Arial"/>
      </rPr>
      <t>Ces hypothèses ont été laissées au choix des utilisateurs, qui peuvent les intégrer dans le calculateur en fonction de leurs observations et expériences individuelles, car celles-ci varient d’une exploitation à l’autre et d’un champ à l’autre.</t>
    </r>
  </si>
  <si>
    <r>
      <rPr>
        <b/>
        <u/>
        <sz val="12"/>
        <color theme="1"/>
        <rFont val="Arial"/>
        <family val="2"/>
      </rPr>
      <t>Remarque 2:</t>
    </r>
    <r>
      <rPr>
        <b/>
        <sz val="12"/>
        <color theme="1"/>
        <rFont val="Arial"/>
        <family val="2"/>
      </rPr>
      <t xml:space="preserve"> </t>
    </r>
    <r>
      <rPr>
        <sz val="12"/>
        <color theme="1"/>
        <rFont val="Arial"/>
        <family val="2"/>
      </rPr>
      <t xml:space="preserve">Plusieurs hypothèses supplémentaires peuvent être formulées pour modifier la somme des revenus prévus sur 12 ans. </t>
    </r>
  </si>
  <si>
    <r>
      <rPr>
        <sz val="12"/>
        <color rgb="FF000000"/>
        <rFont val="Arial"/>
      </rPr>
      <t>Par exemple, des rotations sur une plus longue durée améliorent généralement la santé des sols et la quantité de produits nécessaires pour maintenir les rendements pourrait être réduite (pesticides, engrais, main-d’œuvre, etc.). Dans une rotation de quatre ans, le sol a plus de temps pour se reconstituer entre les cycles, ce qui rend la terre plus saine et augmente le rendement total des cultures. Cela signifie que le produit des ventes augmente (prix x quantité</t>
    </r>
    <r>
      <rPr>
        <b/>
        <sz val="14"/>
        <color rgb="FF000000"/>
        <rFont val="Arial"/>
      </rPr>
      <t>↑</t>
    </r>
    <r>
      <rPr>
        <sz val="12"/>
        <color rgb="FF000000"/>
        <rFont val="Arial"/>
      </rPr>
      <t xml:space="preserve"> = produit</t>
    </r>
    <r>
      <rPr>
        <b/>
        <sz val="14"/>
        <color rgb="FF000000"/>
        <rFont val="Arial"/>
      </rPr>
      <t>↑</t>
    </r>
    <r>
      <rPr>
        <sz val="12"/>
        <color rgb="FF000000"/>
        <rFont val="Arial"/>
      </rPr>
      <t>).</t>
    </r>
  </si>
  <si>
    <t>In a 4-year rotation, the soil has more time to recover between cycles, making the land healthier and increasing the total crop yield generated. This means that revenue from sales increases (Price x Quantity↑ = Revenue↑).</t>
  </si>
  <si>
    <r>
      <rPr>
        <b/>
        <sz val="12"/>
        <color rgb="FFC65911"/>
        <rFont val="Arial"/>
      </rPr>
      <t>Les variations du rendement annuel des cultures (%) (ligne 53)</t>
    </r>
    <r>
      <rPr>
        <sz val="12"/>
        <rFont val="Arial"/>
        <family val="2"/>
      </rPr>
      <t xml:space="preserve"> désignent les variations de la quantité de produits agricoles récoltés sur une surface précise au cours d’une année (Fischer, 2015). Cette ligne peut être utilisée pour saisir des hypothèses concernant les variations de rendement dans la campagne agricole en cours selon la ou les cultures plantées au cours des campagnes agricoles précédentes.</t>
    </r>
  </si>
  <si>
    <t>Par exemple, si vous avez l’intention d’utiliser une culture de couverture qui fixe l’azote pour ajouter de l’azote au champ avant les pommes de terre afin d’en augmenter leur rendement, vous pouvez inclure l’augmentation (+%) du rendement de la culture (ligne 54) ainsi que la diminution (-%) des apports d’engrais (lignes 39, 45 et 48).</t>
  </si>
  <si>
    <r>
      <rPr>
        <b/>
        <u/>
        <sz val="12"/>
        <color theme="1"/>
        <rFont val="Arial"/>
        <family val="2"/>
      </rPr>
      <t xml:space="preserve">Étape 3 : </t>
    </r>
    <r>
      <rPr>
        <b/>
        <sz val="12"/>
        <color theme="1"/>
        <rFont val="Arial"/>
        <family val="2"/>
      </rPr>
      <t>Examinez les modifications des montants en dollars dans le tableau du revenu d’exploitation net pour vous assurer que les valeurs des cellules sont correctes.</t>
    </r>
  </si>
  <si>
    <t>Sur la base des changements d’hypothèses effectués à l’étape 2.</t>
  </si>
  <si>
    <r>
      <rPr>
        <b/>
        <u/>
        <sz val="12"/>
        <color theme="1"/>
        <rFont val="Arial"/>
        <family val="2"/>
      </rPr>
      <t>Étape 4 :</t>
    </r>
    <r>
      <rPr>
        <b/>
        <sz val="12"/>
        <color theme="1"/>
        <rFont val="Arial"/>
        <family val="2"/>
      </rPr>
      <t xml:space="preserve"> Vérifiez que les différents taux utilisés pour calculer la VAN sont corrects.</t>
    </r>
  </si>
  <si>
    <t>Les définitions de chaque taux se trouvent dans l’onglet « Introduction ». Si l’information est incorrecte (cellules C87 et C88), vous pouvez modifier chaque valeur en introduisant la valeur correcte dans la cellule en damier à droite (cellules D87 et D88).</t>
  </si>
  <si>
    <r>
      <rPr>
        <b/>
        <u/>
        <sz val="12"/>
        <color theme="1"/>
        <rFont val="Arial"/>
        <family val="2"/>
      </rPr>
      <t>Étape 5:</t>
    </r>
    <r>
      <rPr>
        <b/>
        <sz val="12"/>
        <color theme="1"/>
        <rFont val="Arial"/>
        <family val="2"/>
      </rPr>
      <t xml:space="preserve"> Une fois les hypothèses et les taux modifiés, examinez les variations dans le tableau de bord.</t>
    </r>
  </si>
  <si>
    <r>
      <rPr>
        <b/>
        <u/>
        <sz val="12"/>
        <color theme="1"/>
        <rFont val="Arial"/>
        <family val="2"/>
      </rPr>
      <t>Step 2</t>
    </r>
    <r>
      <rPr>
        <b/>
        <sz val="12"/>
        <color theme="1"/>
        <rFont val="Arial"/>
        <family val="2"/>
      </rPr>
      <t>: Results</t>
    </r>
  </si>
  <si>
    <t xml:space="preserve">The most beneficial cycle will appear in the first result table. </t>
  </si>
  <si>
    <t xml:space="preserve">Projected earnings (NPV) from environmental benefits is in the second result table. </t>
  </si>
  <si>
    <t>Hypothèses pour comparer les différentes rotations</t>
  </si>
  <si>
    <t>2 ans</t>
  </si>
  <si>
    <t>3 ans</t>
  </si>
  <si>
    <t>4 ans</t>
  </si>
  <si>
    <t>Cycle de rotation</t>
  </si>
  <si>
    <t>2nd</t>
  </si>
  <si>
    <t>3rd</t>
  </si>
  <si>
    <t>4th</t>
  </si>
  <si>
    <t>5th</t>
  </si>
  <si>
    <t>6th</t>
  </si>
  <si>
    <t>Culture sélectionnée [dans l’onglet Tableau de bord]</t>
  </si>
  <si>
    <t>Variation de l’application d’engrais (%)</t>
  </si>
  <si>
    <t>Final fertilizer reduction (%)</t>
  </si>
  <si>
    <t>Variation du travail sur commande pour l’application d’engrais, de pesticides ou d’herbicides (%)</t>
  </si>
  <si>
    <t>Final pesticides or Herbicides reduction (%)</t>
  </si>
  <si>
    <t>Variation du carburant utilisé pour l’application d’engrais, de pesticides ou d’herbicides (%)</t>
  </si>
  <si>
    <t>Final custom work for fertilizers, pesticides, or herbicides application reduction (%)</t>
  </si>
  <si>
    <t>Variation de la main-d’œuvre embauchée ou gagnée (%)</t>
  </si>
  <si>
    <t>Final fuel used to apply fertilizers, pesticides, or herbicides application reduction (%)</t>
  </si>
  <si>
    <t>Final labour hired or own reduction (%)</t>
  </si>
  <si>
    <t>Variations dans le rendement annuel des cultures (%). Cette ligne peut être utilisée pour saisir des hypothèses concernant les variations de rendement dans la campagne agricole en cours selon la ou les cultures plantées au cours des campagnes agricoles précédentes.</t>
  </si>
  <si>
    <t>Final crop yield variation (%)</t>
  </si>
  <si>
    <t>Tableau du revenu d’exploitation net</t>
  </si>
  <si>
    <t>Culture sélectionnée [dans l’onglet « Tableau de bord »]</t>
  </si>
  <si>
    <t>Total des coûts d’exploitation variables ($/acre)</t>
  </si>
  <si>
    <t>Autres coûts (par exemple, réglementation liée à la durée de la rotation)</t>
  </si>
  <si>
    <t>Coûts d’exploitation totaux ($/acre)</t>
  </si>
  <si>
    <t>Revenus totaux des ventes ($/acre)</t>
  </si>
  <si>
    <t>Autres revenus à la ferme ($/acre)</t>
  </si>
  <si>
    <t>Revenu total à la ferme ($/acre)</t>
  </si>
  <si>
    <t>Revenu net ($/acre)</t>
  </si>
  <si>
    <t>Revenu net cumulé ($/acre)</t>
  </si>
  <si>
    <t xml:space="preserve">Contribution de la culture sélectionnée à la VAN </t>
  </si>
  <si>
    <t>Net income of crop 1</t>
  </si>
  <si>
    <t>Net income of crop 2</t>
  </si>
  <si>
    <t>Net income of crop 3</t>
  </si>
  <si>
    <t>Net income of crop 4</t>
  </si>
  <si>
    <t>Ratio coûts-revenus</t>
  </si>
  <si>
    <t>Average revenue-cost ratio</t>
  </si>
  <si>
    <t>Hypothèses de calcul de la VAN</t>
  </si>
  <si>
    <t>Taux d’actualisation [coûts d’option, p. ex. le taux d’épargne de la banque]</t>
  </si>
  <si>
    <t>Taux d’inflation</t>
  </si>
  <si>
    <t>Taux d’actualisation rajusté en fonction de l’inflation</t>
  </si>
  <si>
    <t xml:space="preserve">The income of a 3-years crop rotation cannot directly be compared to the income of 4-years crop rotation because of extra income from the 4th year. </t>
  </si>
  <si>
    <t xml:space="preserve">Total income from a 3-year crop rotation repeated for 4 cycles will be compared to the total income from a 4-year crop rotation repeated for 3 cycles. Hence, we get 12 cash flow periods for each system. </t>
  </si>
  <si>
    <t>Results</t>
  </si>
  <si>
    <t>NPV of net operating income over 12 years ($/acre)</t>
  </si>
  <si>
    <t>Most beneficial</t>
  </si>
  <si>
    <t>NPV of net operating income over 4 years ($/acre)</t>
  </si>
  <si>
    <t>2-year vs 4-year rotation</t>
  </si>
  <si>
    <t>Evironmental benefits</t>
  </si>
  <si>
    <t>Selected crop [in the "Dashboard" tab]</t>
  </si>
  <si>
    <t>Environmental benefits for the farm ($/acre)</t>
  </si>
  <si>
    <t>Final environmental benefits for the farm ($/acre)</t>
  </si>
  <si>
    <t>Environmental benefits for the community ($/acre)</t>
  </si>
  <si>
    <t>Present value of evironmental benefits for the community ($/acre)</t>
  </si>
  <si>
    <t xml:space="preserve">In this tool, there are two types of environmental benefits associated with the use of crop rotation: </t>
  </si>
  <si>
    <t xml:space="preserve">benefits that are financial to the farm such as carbon credits, </t>
  </si>
  <si>
    <t xml:space="preserve">and benefits that are shared with the community such as reduced cost of water treatment or enhanced biodiversity due to less chemical runoff. </t>
  </si>
  <si>
    <t>Both types of environmental benefits are treated as growing perpetuities since they last forever and their value increases over time. The perpetuity's growth rate is 0.5%.</t>
  </si>
  <si>
    <t>NPV of farm's environmental benefits over 12 years ($/acre)</t>
  </si>
  <si>
    <t>NPV of community's environmental benefits over 12 years ($/acre)</t>
  </si>
  <si>
    <t>Tableau des valeurs des cultures</t>
  </si>
  <si>
    <t>Cultures</t>
  </si>
  <si>
    <t>Orge (grain + paille)</t>
  </si>
  <si>
    <t>Maïs (ensilage)</t>
  </si>
  <si>
    <t>Avoine (grain + paille)</t>
  </si>
  <si>
    <t>Blé (printemps - grain + paille)</t>
  </si>
  <si>
    <t>Blé (hiver - grain + paille)</t>
  </si>
  <si>
    <t>Année de production de la valeur originale</t>
  </si>
  <si>
    <t>1.843/1.39</t>
  </si>
  <si>
    <t>1.14/1.37</t>
  </si>
  <si>
    <t>1.51/1.25</t>
  </si>
  <si>
    <t>2.31/1.54</t>
  </si>
  <si>
    <t>340 (céréales)/52.79 (paille)</t>
  </si>
  <si>
    <t>315 (céréales)/51.32 (paille)</t>
  </si>
  <si>
    <t>390 (céréales de printemps)/80 (paille)</t>
  </si>
  <si>
    <t>355 (céréales d’hiver)/39.32 (paille)</t>
  </si>
  <si>
    <t>Type d’unité</t>
  </si>
  <si>
    <t>tonne (grain/paille)</t>
  </si>
  <si>
    <t>tonne/balle</t>
  </si>
  <si>
    <t xml:space="preserve">Autres revenus agricoles </t>
  </si>
  <si>
    <t>Fertilisants</t>
  </si>
  <si>
    <t>Combustible utilisé pour l’épandage d’engrais, de pesticides ou d’herbicides</t>
  </si>
  <si>
    <t>Main-d’œuvre embauchée ou de l’exploitation</t>
  </si>
  <si>
    <t>Total des coûts variables ($/acre)</t>
  </si>
  <si>
    <t>Sources d’information</t>
  </si>
  <si>
    <t xml:space="preserve">Agricultural Climate Solutions - Living Labs.(2021-2031). Retrieved from: https://agriculture.canada.ca/en/environment/climate-change/agricultural-climate-solutions/agricultural-climate-solutions-living-labs" 
Atlantic Grains Council. (2022). 2022 On Farm Research Summary. [Fa+B10ctsheet].   
Atlantic Grains Council. (2022). 2022 Maritime Spring Wheat Cost Guide. [Factsheet]. Retrieved from https://atlanticgrainscouncil.ca/wp-content/uploads/2024/01/Wheat-Guide-April-2022.pdf   
Atlantic Grains Council. (2021). Barley Profile 2021. [Factsheet]. Retrieved from https://atlanticgrainscouncil.ca/wp-content/uploads/2023/01/Barley-Profile-2021.pdf   
Atlantic Grains Council. (2021). Corn Profile 2021. [Factsheet]. Retrieved from https://atlanticgrainscouncil.ca/wp-content/uploads/2023/01/Corn-Profile-2021.pdf  
Atlantic Grains Council. (2023). Newsletter Spring 2023. Retrieved from https://atlanticgrainscouncil.ca/wp-content/uploads/2023/05/214293_Newsletter-Spring-2023_PROOF-4_feb23.pdf   
Atlantic Grains Council. (2021). Oats Profile 2021. [Factsheet]. Retrieved from https://atlanticgrainscouncil.ca/wp-content/uploads/2023/01/Oats-Profile-2021.pdf  
Atlantic Grains Council. (2021). Soy Profile 2021. [Factsheet]. Retrieved from https://atlanticgrainscouncil.ca/wp-content/uploads/2023/01/Soybean-Profile-2021.pdf  
Atlantic Grains Council. (2021). Wheat Profile 2021. [Factsheet]. Retrieved from https://atlanticgrainscouncil.ca/wp-content/uploads/2023/01/Wheat-Profile-2021.pdf  
Bank of Canada. (2020). Understanding inflation. https://www.bankofcanada.ca/2020/08/understanding-inflation/ 
BDO Canada LLP. (2023). PEI Processing Potato Cost of Production (2022 Crop). Submitted to the PEI Potato Board.  
Fischer, R.A. (2015). Definitions and determination of crop yield, yield gaps, and of rates of change. Field Crops Research, 182, pp. 9–18. doi:10.1016/j.fcr.2014.12.006.  
Government of PEI. (2020). The Prince Edward Island Potato Sector: An Economic Impact Analysis. Charlottetown, PE: Strategic Policy and Evaluation Division, Department of Agriculture and Land. Retrieved from https://www.princeedwardisland.ca/sites/default/files/publications/af_potato_econ_impact_study.pdf  
Hamill, S. (2022). 2022 Cost of Production - Field Crops. PEI Department of Agriculture and Land.  
Jones, C. (n.d.). Business Planning and Economics of Forage Establishment and Cost of Production in Nova Scotia. NS Department of Agriculture. Retrieved from https://novascotia.ca/agri/documents/business-research/ForageCOPReport.pdf  
Larkin R.P., and Honeycutt, C.W. (2006). Effects of different 3-year cropping systems on soil microbial communities and Rhizoctonia diseases of potato. Phytopathology, 96(1), 68-79. doi: 10.1094/PHYTO-96-0068  
Living Laboratories Initiative. (2018-2023). Retrieved from https://agriculture.canada.ca/en/science/living-laboratories-initiative 
MacNeill, S. (2021). 2021 Commodity Profiles. Charlottetown, PE: Agriculture Industry Development Section, PEI Department of Agriculture and Land. Retrieved from https://www.princeedwardisland.ca/sites/default/files/publications/af_commodityprofile.pdf 
Manitoba Agriculture. (2023). Guidelines for Estimating Crop Production Costs 2023. [Excel spreadsheet]. Retrieved from https://www.gov.mb.ca/agriculture/farm-management/production-economics/cost-of-production.html  
Ontario Ministry of Agriculture, Food and Rural Affairs. (2022). Field Crop Budgets 2022. [Excel spreadsheet]. Retrieved from https://www.ontario.ca/page/crops-and-livestock-budgeting-ontario 
Past CPI values are from the central bank’s website. https://www.bankofcanada.ca/rates/price-indexes/cpi/ 
PEI Agricultural Crop Rotation Act. (2023). Retrieved from https://www.princeedwardisland.ca/sites/default/files/legislation/a-08-01-agricultural_crop_rotation_act.pdf 
PEI Agriculture and Fisheries. (2018). 2018 Forage Guide to Cultivar Selection. Retrieved from https://www.princeedwardisland.ca/en/publication/2018-forage-guide  
PEI Department of Agriculture. (2022, Feb). Conversation on agriculture statistics.  
PEI Department of Agriculture and Land. (2022). Agriculture Statistics. Retrieved from: https://www.princeedwardisland.ca/en/information/agriculture-and-land/agriculture-statistics  
PEI Grain Elevators. (2023, March). Telephone conversation on pricing of different grains.  
Saskatchewan Ministry of Agriculture. (2021). Crop Planning Guide 2021. Retrieved from https://publications.saskatchewan.ca/#/products/111426  
Statistics Canada. Table 32-10-0358-01 Area, production and farm value of potatoes  
Statistics Canada. Table 32-10-0359-01 Estimated areas, yield, production, average farm price and total farm value of principal field crops, in metric and imperial units  
Statistics Canada. Table 32-10-0209-01 Type of pesticides used on farms </t>
  </si>
  <si>
    <t>© 2024 His Majesty the King in Right of Canada, as represented by the Minister of Agriculture and Agri-Food Canada.</t>
  </si>
  <si>
    <t>Assumptions on the yield from past literature</t>
  </si>
  <si>
    <t>Assumptions on the yield of the selected crops in the "Dashboard tab".</t>
  </si>
  <si>
    <r>
      <rPr>
        <b/>
        <u/>
        <sz val="11"/>
        <color theme="1"/>
        <rFont val="Arial"/>
        <family val="2"/>
      </rPr>
      <t>Note:</t>
    </r>
    <r>
      <rPr>
        <b/>
        <sz val="11"/>
        <color theme="1"/>
        <rFont val="Arial"/>
        <family val="2"/>
      </rPr>
      <t xml:space="preserve"> This is a template for future versions of the calculator. </t>
    </r>
  </si>
  <si>
    <r>
      <t>The table below listed as “Additional assumptions, applicable after 2</t>
    </r>
    <r>
      <rPr>
        <b/>
        <vertAlign val="superscript"/>
        <sz val="8.5"/>
        <rFont val="Arial"/>
        <family val="2"/>
      </rPr>
      <t>nd</t>
    </r>
    <r>
      <rPr>
        <b/>
        <sz val="11"/>
        <rFont val="Arial"/>
        <family val="2"/>
      </rPr>
      <t xml:space="preserve"> Cycle” is a template. </t>
    </r>
  </si>
  <si>
    <t xml:space="preserve">     ˗ The column listed as “Yield Increases” will be updated through additional literature.   </t>
  </si>
  <si>
    <r>
      <t xml:space="preserve">     ˗ The rates in this table account for the compound effect of yield fluctuations after several rotation cycles.</t>
    </r>
    <r>
      <rPr>
        <sz val="11"/>
        <rFont val="Arial"/>
        <family val="2"/>
      </rPr>
      <t> </t>
    </r>
  </si>
  <si>
    <r>
      <t xml:space="preserve">     ˗ The assumptions of yield increase only apply to yields after the 1</t>
    </r>
    <r>
      <rPr>
        <b/>
        <vertAlign val="superscript"/>
        <sz val="8.5"/>
        <rFont val="Arial"/>
        <family val="2"/>
      </rPr>
      <t>st</t>
    </r>
    <r>
      <rPr>
        <b/>
        <sz val="11"/>
        <rFont val="Arial"/>
        <family val="2"/>
      </rPr>
      <t xml:space="preserve"> rotation cycle. </t>
    </r>
  </si>
  <si>
    <t>No value for yield increase</t>
  </si>
  <si>
    <t xml:space="preserve">     ˗ The assumptions on effects of yield fluctuation rates only apply to yields after 2nd rotation cycles. </t>
  </si>
  <si>
    <t>Previous crops</t>
  </si>
  <si>
    <t>ID</t>
  </si>
  <si>
    <t xml:space="preserve">     ˗ These assumptions feed into calculations that can be found in the Comparison tab</t>
  </si>
  <si>
    <t>Yield increase from literature</t>
  </si>
  <si>
    <t>Selected crops in the table for each year can be modified following the steps in the Dashboard tab. These crops will appear in the Dashboard in cells 32-35. </t>
  </si>
  <si>
    <t>Additional assumptions, applicable after the 2nd cycle</t>
  </si>
  <si>
    <t>Length of the rotation cycle, for rotation cycle</t>
  </si>
  <si>
    <t>Yield increase rate increases by:</t>
  </si>
  <si>
    <t>Input</t>
  </si>
  <si>
    <t>2 years, 3rd cycle</t>
  </si>
  <si>
    <t>2 years, 4th cycle</t>
  </si>
  <si>
    <t>2 years, 5th cycle</t>
  </si>
  <si>
    <t>2 years, 6th cycle</t>
  </si>
  <si>
    <t>3 years, 3rd cycle</t>
  </si>
  <si>
    <t>3 years, 4th cycle</t>
  </si>
  <si>
    <t>4 years, 3rd cycle</t>
  </si>
  <si>
    <t xml:space="preserve">Yield increase from literature </t>
  </si>
  <si>
    <t>For the following crop:</t>
  </si>
  <si>
    <t>With previous crops:</t>
  </si>
  <si>
    <t>Yield increase of:</t>
  </si>
  <si>
    <t>Reference</t>
  </si>
  <si>
    <t>Original yield increase values</t>
  </si>
  <si>
    <t>Potatoes</t>
  </si>
  <si>
    <t>Potatoes-Soybeans-Canola-Potatoes</t>
  </si>
  <si>
    <t>Larkin, R. P., &amp; Honeycutt, C. W. (2006)</t>
  </si>
  <si>
    <t>Potatoes-Soybeans-Barley-Potatoes</t>
  </si>
  <si>
    <t>Larkin, R. P., &amp; Honeycutt, C. W. (2006)* Clover was farmed along with barley as cover crops</t>
  </si>
  <si>
    <t>Yield increase values adjusted for the 3rd, 4th, 5th and 6th rotation cycle</t>
  </si>
  <si>
    <t>Potatoes-Soybeans-Canola-Potatoes-Soybeans-Canola-Potatoes</t>
  </si>
  <si>
    <t>Potatoes-Soybeans-Canola-Potatoes-Soybeans-Canola-Potatoes-Soybeans-Canola-Potatoes</t>
  </si>
  <si>
    <t>Potatoes-Soybeans-Barley-Potatoes-Soybeans-Barley-Potatoes</t>
  </si>
  <si>
    <t>Potatoes-Soybeans-Barley-Potatoes-Soybeans-Barley-Potatoes-Soybeans-Barley-Potatoes</t>
  </si>
  <si>
    <t>12 Cash Flow Periods of the 3 Rotations - Table for Dashboard</t>
  </si>
  <si>
    <t>2Y</t>
  </si>
  <si>
    <t>3Y</t>
  </si>
  <si>
    <t>4Y</t>
  </si>
  <si>
    <t>Selected crop</t>
  </si>
  <si>
    <t>Latest CPI Values</t>
  </si>
  <si>
    <t>Month</t>
  </si>
  <si>
    <t>CPI Values</t>
  </si>
  <si>
    <t>153.9</t>
  </si>
  <si>
    <t>Source: Bank of Canada</t>
  </si>
  <si>
    <t>https://www.bankofcanada.ca/rates/price-indexes/cpi/</t>
  </si>
  <si>
    <t xml:space="preserve">The first two columns are the month (CANSIM) column </t>
  </si>
  <si>
    <t>and the not seasonally adjusted (v41690973) column from the linked site.</t>
  </si>
  <si>
    <r>
      <rPr>
        <b/>
        <u/>
        <sz val="12"/>
        <color rgb="FF000000"/>
        <rFont val="Arial"/>
      </rPr>
      <t>Note de bas de page:</t>
    </r>
    <r>
      <rPr>
        <sz val="12"/>
        <color rgb="FF000000"/>
        <rFont val="Arial"/>
      </rPr>
      <t xml:space="preserve"> Ces graphiques représentent la proportion des bénéfices</t>
    </r>
    <r>
      <rPr>
        <sz val="12"/>
        <color rgb="FFFF0000"/>
        <rFont val="Arial"/>
      </rPr>
      <t xml:space="preserve"> </t>
    </r>
    <r>
      <rPr>
        <sz val="12"/>
        <rFont val="Arial"/>
        <family val="2"/>
      </rPr>
      <t>/ gains totaux projetés</t>
    </r>
    <r>
      <rPr>
        <sz val="12"/>
        <color rgb="FFFF0000"/>
        <rFont val="Arial"/>
      </rPr>
      <t xml:space="preserve">, </t>
    </r>
    <r>
      <rPr>
        <sz val="12"/>
        <rFont val="Arial"/>
        <family val="2"/>
      </rPr>
      <t xml:space="preserve">provenant </t>
    </r>
    <r>
      <rPr>
        <sz val="12"/>
        <color rgb="FF000000"/>
        <rFont val="Arial"/>
      </rPr>
      <t>de chaque culture sélectionnée dans les rotations de 2, 3 et</t>
    </r>
  </si>
  <si>
    <r>
      <t xml:space="preserve">Année de production de la valeur originale </t>
    </r>
    <r>
      <rPr>
        <b/>
        <vertAlign val="superscript"/>
        <sz val="12"/>
        <rFont val="Arial"/>
        <family val="2"/>
      </rPr>
      <t>1</t>
    </r>
  </si>
  <si>
    <t>Type d’unité [par exemple, tonne, boisseau, livre, etc.]</t>
  </si>
  <si>
    <t>Carburant utilisé pour l’épandage d’engrais, de pesticides ou d’herbicides</t>
  </si>
  <si>
    <t>Main-d’œuvre embauchée ou familiale</t>
  </si>
  <si>
    <t>Applications cumulées de pesticides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</si>
</sst>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2" formatCode="_(&quot;$&quot;* #,##0_);_(&quot;$&quot;* \(#,##0\);_(&quot;$&quot;* &quot;-&quot;_);_(@_)"/>
    <numFmt numFmtId="44" formatCode="_(&quot;$&quot;* #,##0.00_);_(&quot;$&quot;* \(#,##0.00\);_(&quot;$&quot;* &quot;-&quot;??_);_(@_)"/>
    <numFmt numFmtId="164" formatCode="_(&quot;$&quot;* #,##0.00_);_(&quot;$&quot;* \(#,##0.00\);_(&quot;$&quot;* &quot;-&quot;_);_(@_)"/>
    <numFmt numFmtId="165" formatCode="&quot;$&quot;#,##0.00"/>
    <numFmt numFmtId="166" formatCode="0.0"/>
  </numFmts>
  <fonts count="66" x14ac:knownFonts="1">
    <font>
      <sz val="11"/>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i/>
      <sz val="12"/>
      <name val="Calibri"/>
      <family val="2"/>
      <scheme val="minor"/>
    </font>
    <font>
      <sz val="9"/>
      <color indexed="81"/>
      <name val="Tahoma"/>
      <family val="2"/>
    </font>
    <font>
      <b/>
      <sz val="9"/>
      <color indexed="81"/>
      <name val="Tahoma"/>
      <family val="2"/>
    </font>
    <font>
      <u/>
      <sz val="12"/>
      <name val="Calibri"/>
      <family val="2"/>
      <scheme val="minor"/>
    </font>
    <font>
      <sz val="8"/>
      <name val="Arial"/>
      <family val="2"/>
    </font>
    <font>
      <sz val="11"/>
      <color theme="1"/>
      <name val="Arial"/>
      <family val="2"/>
    </font>
    <font>
      <b/>
      <u/>
      <sz val="11"/>
      <name val="Arial"/>
      <family val="2"/>
    </font>
    <font>
      <sz val="11"/>
      <color theme="1" tint="0.499984740745262"/>
      <name val="Arial"/>
      <family val="2"/>
    </font>
    <font>
      <b/>
      <sz val="11"/>
      <name val="Arial"/>
      <family val="2"/>
    </font>
    <font>
      <sz val="11"/>
      <name val="Arial"/>
      <family val="2"/>
    </font>
    <font>
      <b/>
      <u/>
      <sz val="11"/>
      <color theme="1"/>
      <name val="Arial"/>
      <family val="2"/>
    </font>
    <font>
      <b/>
      <sz val="11"/>
      <color theme="1"/>
      <name val="Arial"/>
      <family val="2"/>
    </font>
    <font>
      <sz val="12"/>
      <color rgb="FFFF0000"/>
      <name val="Arial"/>
      <family val="2"/>
    </font>
    <font>
      <b/>
      <sz val="12"/>
      <color theme="1"/>
      <name val="Arial"/>
      <family val="2"/>
    </font>
    <font>
      <sz val="12"/>
      <name val="Arial"/>
      <family val="2"/>
    </font>
    <font>
      <b/>
      <u/>
      <sz val="12"/>
      <name val="Arial"/>
      <family val="2"/>
    </font>
    <font>
      <sz val="12"/>
      <color theme="1" tint="0.499984740745262"/>
      <name val="Arial"/>
      <family val="2"/>
    </font>
    <font>
      <b/>
      <sz val="12"/>
      <name val="Arial"/>
      <family val="2"/>
    </font>
    <font>
      <b/>
      <u/>
      <sz val="12"/>
      <color theme="1"/>
      <name val="Arial"/>
      <family val="2"/>
    </font>
    <font>
      <b/>
      <sz val="12"/>
      <color theme="0"/>
      <name val="Arial"/>
      <family val="2"/>
    </font>
    <font>
      <vertAlign val="superscript"/>
      <sz val="12"/>
      <color theme="1"/>
      <name val="Arial"/>
      <family val="2"/>
    </font>
    <font>
      <sz val="12"/>
      <color rgb="FF146C54"/>
      <name val="Arial"/>
      <family val="2"/>
    </font>
    <font>
      <sz val="12"/>
      <color theme="0" tint="-0.499984740745262"/>
      <name val="Arial"/>
      <family val="2"/>
    </font>
    <font>
      <b/>
      <i/>
      <sz val="12"/>
      <name val="Arial"/>
      <family val="2"/>
    </font>
    <font>
      <u/>
      <sz val="12"/>
      <color theme="1"/>
      <name val="Arial"/>
      <family val="2"/>
    </font>
    <font>
      <b/>
      <sz val="12"/>
      <color theme="0" tint="-4.9989318521683403E-2"/>
      <name val="Arial"/>
      <family val="2"/>
    </font>
    <font>
      <vertAlign val="superscript"/>
      <sz val="12"/>
      <name val="Arial"/>
      <family val="2"/>
    </font>
    <font>
      <i/>
      <sz val="12"/>
      <color theme="1"/>
      <name val="Arial"/>
      <family val="2"/>
    </font>
    <font>
      <b/>
      <sz val="12"/>
      <color rgb="FF146C54"/>
      <name val="Arial"/>
      <family val="2"/>
    </font>
    <font>
      <b/>
      <sz val="12"/>
      <color theme="1" tint="0.499984740745262"/>
      <name val="Arial"/>
      <family val="2"/>
    </font>
    <font>
      <sz val="12"/>
      <color theme="0" tint="-4.9989318521683403E-2"/>
      <name val="Arial"/>
      <family val="2"/>
    </font>
    <font>
      <b/>
      <u/>
      <sz val="12"/>
      <color theme="0"/>
      <name val="Arial"/>
      <family val="2"/>
    </font>
    <font>
      <sz val="12"/>
      <color theme="0"/>
      <name val="Arial"/>
      <family val="2"/>
    </font>
    <font>
      <i/>
      <sz val="12"/>
      <color theme="0"/>
      <name val="Arial"/>
      <family val="2"/>
    </font>
    <font>
      <b/>
      <vertAlign val="superscript"/>
      <sz val="8.5"/>
      <name val="Arial"/>
      <family val="2"/>
    </font>
    <font>
      <b/>
      <sz val="12"/>
      <color theme="5" tint="-0.249977111117893"/>
      <name val="Arial"/>
      <family val="2"/>
    </font>
    <font>
      <sz val="10"/>
      <name val="Arial"/>
      <family val="2"/>
    </font>
    <font>
      <sz val="11"/>
      <color rgb="FFFF0000"/>
      <name val="Arial"/>
      <family val="2"/>
    </font>
    <font>
      <sz val="10"/>
      <color theme="1"/>
      <name val="Arial"/>
      <family val="2"/>
    </font>
    <font>
      <sz val="10"/>
      <color rgb="FF146C54"/>
      <name val="Arial"/>
      <family val="2"/>
    </font>
    <font>
      <sz val="10"/>
      <color theme="1" tint="0.499984740745262"/>
      <name val="Arial"/>
      <family val="2"/>
    </font>
    <font>
      <b/>
      <i/>
      <sz val="10"/>
      <name val="Arial"/>
      <family val="2"/>
    </font>
    <font>
      <i/>
      <sz val="12"/>
      <name val="Arial"/>
      <family val="2"/>
    </font>
    <font>
      <b/>
      <sz val="10"/>
      <color theme="1"/>
      <name val="Arial"/>
      <family val="2"/>
    </font>
    <font>
      <sz val="10"/>
      <color rgb="FF242424"/>
      <name val="Arial"/>
      <family val="2"/>
    </font>
    <font>
      <sz val="11"/>
      <color rgb="FF242424"/>
      <name val="Aptos Narrow"/>
      <family val="2"/>
    </font>
    <font>
      <b/>
      <sz val="10"/>
      <color theme="0"/>
      <name val="Arial"/>
      <family val="2"/>
    </font>
    <font>
      <sz val="12"/>
      <color rgb="FF000000"/>
      <name val="Arial"/>
    </font>
    <font>
      <b/>
      <sz val="12"/>
      <color rgb="FFC65911"/>
      <name val="Arial"/>
    </font>
    <font>
      <sz val="12"/>
      <color rgb="FF000000"/>
      <name val="Arial"/>
      <family val="2"/>
    </font>
    <font>
      <b/>
      <sz val="12"/>
      <color rgb="FF000000"/>
      <name val="Arial"/>
      <family val="2"/>
    </font>
    <font>
      <b/>
      <sz val="12"/>
      <color theme="5"/>
      <name val="Arial"/>
      <family val="2"/>
    </font>
    <font>
      <b/>
      <sz val="12"/>
      <color theme="7" tint="0.79998168889431442"/>
      <name val="Arial"/>
      <family val="2"/>
    </font>
    <font>
      <b/>
      <u/>
      <sz val="12"/>
      <color rgb="FF000000"/>
      <name val="Arial"/>
    </font>
    <font>
      <sz val="12"/>
      <color rgb="FFFF0000"/>
      <name val="Arial"/>
    </font>
    <font>
      <b/>
      <sz val="14"/>
      <color rgb="FF000000"/>
      <name val="Arial"/>
    </font>
    <font>
      <b/>
      <vertAlign val="superscript"/>
      <sz val="12"/>
      <name val="Arial"/>
      <family val="2"/>
    </font>
  </fonts>
  <fills count="18">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00800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146C54"/>
        <bgColor indexed="64"/>
      </patternFill>
    </fill>
    <fill>
      <patternFill patternType="solid">
        <fgColor theme="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42">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style="thin">
        <color theme="0"/>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rgb="FF008000"/>
      </left>
      <right style="thin">
        <color rgb="FF008000"/>
      </right>
      <top style="thin">
        <color rgb="FF008000"/>
      </top>
      <bottom style="thin">
        <color rgb="FF008000"/>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rgb="FF146C54"/>
      </left>
      <right style="thin">
        <color rgb="FF146C54"/>
      </right>
      <top style="thin">
        <color rgb="FF146C54"/>
      </top>
      <bottom style="thin">
        <color rgb="FF146C54"/>
      </bottom>
      <diagonal/>
    </border>
    <border>
      <left style="thin">
        <color rgb="FF146C54"/>
      </left>
      <right/>
      <top style="thin">
        <color rgb="FF146C54"/>
      </top>
      <bottom style="thin">
        <color rgb="FF146C54"/>
      </bottom>
      <diagonal/>
    </border>
    <border>
      <left/>
      <right/>
      <top style="thin">
        <color rgb="FF146C54"/>
      </top>
      <bottom style="thin">
        <color rgb="FF146C54"/>
      </bottom>
      <diagonal/>
    </border>
    <border>
      <left/>
      <right style="thin">
        <color rgb="FF146C54"/>
      </right>
      <top style="thin">
        <color rgb="FF146C54"/>
      </top>
      <bottom style="thin">
        <color rgb="FF146C54"/>
      </bottom>
      <diagonal/>
    </border>
    <border>
      <left style="thin">
        <color rgb="FF146C54"/>
      </left>
      <right/>
      <top/>
      <bottom/>
      <diagonal/>
    </border>
    <border>
      <left/>
      <right style="thin">
        <color rgb="FF146C54"/>
      </right>
      <top/>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rgb="FF146C54"/>
      </right>
      <top style="thin">
        <color rgb="FF146C54"/>
      </top>
      <bottom style="thin">
        <color rgb="FF146C54"/>
      </bottom>
      <diagonal/>
    </border>
    <border>
      <left style="thin">
        <color rgb="FF146C54"/>
      </left>
      <right style="medium">
        <color indexed="64"/>
      </right>
      <top style="thin">
        <color rgb="FF146C54"/>
      </top>
      <bottom style="thin">
        <color rgb="FF146C54"/>
      </bottom>
      <diagonal/>
    </border>
    <border>
      <left style="medium">
        <color indexed="64"/>
      </left>
      <right style="thin">
        <color rgb="FF146C54"/>
      </right>
      <top style="thin">
        <color rgb="FF146C54"/>
      </top>
      <bottom style="medium">
        <color indexed="64"/>
      </bottom>
      <diagonal/>
    </border>
    <border>
      <left style="thin">
        <color rgb="FF146C54"/>
      </left>
      <right style="medium">
        <color indexed="64"/>
      </right>
      <top style="thin">
        <color rgb="FF146C54"/>
      </top>
      <bottom style="medium">
        <color indexed="64"/>
      </bottom>
      <diagonal/>
    </border>
    <border>
      <left/>
      <right/>
      <top style="medium">
        <color indexed="64"/>
      </top>
      <bottom/>
      <diagonal/>
    </border>
    <border>
      <left style="thin">
        <color rgb="FF146C54"/>
      </left>
      <right style="thin">
        <color rgb="FF146C54"/>
      </right>
      <top style="thin">
        <color rgb="FF146C5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22">
    <xf numFmtId="0" fontId="0" fillId="4" borderId="0">
      <alignment horizontal="left" vertical="center"/>
    </xf>
    <xf numFmtId="0" fontId="12" fillId="0" borderId="0" applyNumberFormat="0" applyFill="0" applyBorder="0">
      <alignment horizontal="left" vertical="center"/>
    </xf>
    <xf numFmtId="44" fontId="7" fillId="3" borderId="0" applyBorder="0">
      <alignment horizontal="center" vertical="center"/>
    </xf>
    <xf numFmtId="9" fontId="8" fillId="0" borderId="0" applyFont="0" applyFill="0" applyBorder="0" applyAlignment="0" applyProtection="0"/>
    <xf numFmtId="0" fontId="9" fillId="0" borderId="0" applyNumberFormat="0" applyFill="0" applyBorder="0" applyAlignment="0" applyProtection="0"/>
    <xf numFmtId="49" fontId="15" fillId="5" borderId="0">
      <alignment horizontal="left" vertical="center"/>
    </xf>
    <xf numFmtId="49" fontId="17" fillId="10" borderId="0">
      <alignment horizontal="center" vertical="center"/>
      <protection locked="0"/>
    </xf>
    <xf numFmtId="4" fontId="16" fillId="0" borderId="6">
      <alignment horizontal="center" vertical="center"/>
      <protection hidden="1"/>
    </xf>
    <xf numFmtId="0" fontId="17" fillId="5" borderId="0">
      <alignment horizontal="left" vertical="center"/>
    </xf>
    <xf numFmtId="42" fontId="14" fillId="2" borderId="0">
      <alignment horizontal="center" vertical="center"/>
    </xf>
    <xf numFmtId="42" fontId="19" fillId="6" borderId="0">
      <alignment horizontal="center" vertical="center"/>
    </xf>
    <xf numFmtId="44" fontId="19" fillId="7" borderId="0">
      <alignment horizontal="center" vertical="center"/>
    </xf>
    <xf numFmtId="44" fontId="18" fillId="0" borderId="0">
      <alignment horizontal="center" vertical="center"/>
    </xf>
    <xf numFmtId="44" fontId="18" fillId="3" borderId="0">
      <alignment horizontal="center" vertical="center"/>
    </xf>
    <xf numFmtId="39" fontId="18" fillId="3" borderId="0">
      <alignment horizontal="center" vertical="center"/>
    </xf>
    <xf numFmtId="10" fontId="18" fillId="3" borderId="0">
      <alignment horizontal="center" vertical="center"/>
    </xf>
    <xf numFmtId="10" fontId="18" fillId="0" borderId="0">
      <alignment horizontal="center" vertical="center"/>
    </xf>
    <xf numFmtId="0" fontId="20" fillId="8" borderId="0">
      <alignment horizontal="left" vertical="center"/>
    </xf>
    <xf numFmtId="0" fontId="20" fillId="8" borderId="0">
      <alignment horizontal="center" vertical="center"/>
    </xf>
    <xf numFmtId="44" fontId="18" fillId="9" borderId="5">
      <alignment horizontal="center" vertical="center"/>
      <protection locked="0"/>
    </xf>
    <xf numFmtId="10" fontId="18" fillId="9" borderId="5">
      <alignment horizontal="center" vertical="center"/>
      <protection locked="0"/>
    </xf>
    <xf numFmtId="0" fontId="18" fillId="9" borderId="5">
      <alignment horizontal="center" vertical="center"/>
      <protection locked="0"/>
    </xf>
  </cellStyleXfs>
  <cellXfs count="482">
    <xf numFmtId="0" fontId="0" fillId="4" borderId="0" xfId="0">
      <alignment horizontal="left" vertical="center"/>
    </xf>
    <xf numFmtId="0" fontId="17" fillId="5" borderId="0" xfId="8">
      <alignment horizontal="left" vertical="center"/>
    </xf>
    <xf numFmtId="49" fontId="15" fillId="5" borderId="0" xfId="5">
      <alignment horizontal="left" vertical="center"/>
    </xf>
    <xf numFmtId="49" fontId="23" fillId="13" borderId="0" xfId="5" applyFont="1" applyFill="1" applyAlignment="1">
      <alignment vertical="center"/>
    </xf>
    <xf numFmtId="0" fontId="23" fillId="9" borderId="0" xfId="21" applyFont="1" applyBorder="1">
      <alignment horizontal="center" vertical="center"/>
      <protection locked="0"/>
    </xf>
    <xf numFmtId="4" fontId="25" fillId="0" borderId="0" xfId="7" applyFont="1" applyBorder="1">
      <alignment horizontal="center" vertical="center"/>
      <protection hidden="1"/>
    </xf>
    <xf numFmtId="8" fontId="27" fillId="11" borderId="0" xfId="10" applyNumberFormat="1" applyFont="1" applyFill="1">
      <alignment horizontal="center" vertical="center"/>
    </xf>
    <xf numFmtId="0" fontId="22" fillId="8" borderId="0" xfId="18" applyFont="1" applyAlignment="1">
      <alignment horizontal="center" vertical="center" wrapText="1"/>
    </xf>
    <xf numFmtId="0" fontId="6" fillId="0" borderId="0" xfId="0" applyFont="1" applyFill="1">
      <alignment horizontal="left" vertical="center"/>
    </xf>
    <xf numFmtId="0" fontId="0" fillId="0" borderId="0" xfId="0" applyFill="1">
      <alignment horizontal="left" vertical="center"/>
    </xf>
    <xf numFmtId="0" fontId="0" fillId="13" borderId="0" xfId="0" applyFill="1">
      <alignment horizontal="left" vertical="center"/>
    </xf>
    <xf numFmtId="49" fontId="24" fillId="5" borderId="0" xfId="5" applyFont="1" applyAlignment="1">
      <alignment vertical="center"/>
    </xf>
    <xf numFmtId="44" fontId="27" fillId="7" borderId="0" xfId="11" applyFont="1">
      <alignment horizontal="center" vertical="center"/>
    </xf>
    <xf numFmtId="42" fontId="27" fillId="6" borderId="0" xfId="10" applyFont="1">
      <alignment horizontal="center" vertical="center"/>
    </xf>
    <xf numFmtId="0" fontId="22" fillId="8" borderId="0" xfId="18" applyFont="1" applyAlignment="1">
      <alignment horizontal="left" vertical="center"/>
    </xf>
    <xf numFmtId="0" fontId="22" fillId="4" borderId="0" xfId="0" applyFont="1" applyAlignment="1">
      <alignment vertical="center"/>
    </xf>
    <xf numFmtId="49" fontId="23" fillId="0" borderId="0" xfId="5" applyFont="1" applyFill="1" applyAlignment="1">
      <alignment vertical="center"/>
    </xf>
    <xf numFmtId="0" fontId="22" fillId="5" borderId="0" xfId="17" applyFont="1" applyFill="1" applyAlignment="1">
      <alignment horizontal="center" vertical="center" wrapText="1"/>
    </xf>
    <xf numFmtId="0" fontId="22" fillId="8" borderId="0" xfId="17" applyFont="1" applyAlignment="1">
      <alignment horizontal="center" vertical="center" wrapText="1"/>
    </xf>
    <xf numFmtId="0" fontId="22" fillId="8" borderId="0" xfId="17" applyFont="1" applyAlignment="1">
      <alignment vertical="center"/>
    </xf>
    <xf numFmtId="0" fontId="22" fillId="8" borderId="0" xfId="17" applyFont="1" applyAlignment="1">
      <alignment horizontal="center" vertical="center"/>
    </xf>
    <xf numFmtId="0" fontId="22" fillId="8" borderId="0" xfId="18" applyFont="1">
      <alignment horizontal="center" vertical="center"/>
    </xf>
    <xf numFmtId="0" fontId="26" fillId="5" borderId="0" xfId="8" applyFont="1" applyAlignment="1">
      <alignment horizontal="left" vertical="center" wrapText="1"/>
    </xf>
    <xf numFmtId="0" fontId="5" fillId="13" borderId="0" xfId="0" applyFont="1" applyFill="1">
      <alignment horizontal="left" vertical="center"/>
    </xf>
    <xf numFmtId="0" fontId="5" fillId="4" borderId="0" xfId="0" applyFont="1">
      <alignment horizontal="left" vertical="center"/>
    </xf>
    <xf numFmtId="0" fontId="5" fillId="0" borderId="0" xfId="0" applyFont="1" applyFill="1">
      <alignment horizontal="left" vertical="center"/>
    </xf>
    <xf numFmtId="42" fontId="27" fillId="12" borderId="0" xfId="10" applyFont="1" applyFill="1" applyAlignment="1">
      <alignment horizontal="centerContinuous" vertical="center"/>
    </xf>
    <xf numFmtId="0" fontId="22" fillId="8" borderId="0" xfId="18" applyFont="1" applyAlignment="1">
      <alignment horizontal="centerContinuous" vertical="center"/>
    </xf>
    <xf numFmtId="42" fontId="27" fillId="12" borderId="0" xfId="10" applyFont="1" applyFill="1" applyAlignment="1">
      <alignment horizontal="left" vertical="center"/>
    </xf>
    <xf numFmtId="49" fontId="28" fillId="0" borderId="0" xfId="5" applyFont="1" applyFill="1" applyAlignment="1">
      <alignment vertical="top"/>
    </xf>
    <xf numFmtId="49" fontId="23" fillId="0" borderId="0" xfId="5" applyFont="1" applyFill="1" applyAlignment="1">
      <alignment vertical="top"/>
    </xf>
    <xf numFmtId="0" fontId="4" fillId="13" borderId="0" xfId="0" applyFont="1" applyFill="1" applyAlignment="1">
      <alignment vertical="center"/>
    </xf>
    <xf numFmtId="4" fontId="25" fillId="0" borderId="6" xfId="7" applyFont="1">
      <alignment horizontal="center" vertical="center"/>
      <protection hidden="1"/>
    </xf>
    <xf numFmtId="0" fontId="4" fillId="4" borderId="0" xfId="0" applyFont="1">
      <alignment horizontal="left" vertical="center"/>
    </xf>
    <xf numFmtId="0" fontId="26" fillId="5" borderId="0" xfId="8" applyFont="1" applyAlignment="1">
      <alignment vertical="center"/>
    </xf>
    <xf numFmtId="0" fontId="4" fillId="0" borderId="0" xfId="0" applyFont="1" applyFill="1" applyAlignment="1">
      <alignment vertical="center"/>
    </xf>
    <xf numFmtId="0" fontId="22" fillId="8" borderId="0" xfId="18" applyFont="1" applyAlignment="1">
      <alignment vertical="center"/>
    </xf>
    <xf numFmtId="0" fontId="22" fillId="8" borderId="2" xfId="17" applyFont="1" applyBorder="1" applyAlignment="1">
      <alignment vertical="center"/>
    </xf>
    <xf numFmtId="0" fontId="22" fillId="8" borderId="1" xfId="17" applyFont="1" applyBorder="1" applyAlignment="1">
      <alignment vertical="center"/>
    </xf>
    <xf numFmtId="0" fontId="22" fillId="8" borderId="12" xfId="17" applyFont="1" applyBorder="1" applyAlignment="1">
      <alignment vertical="center"/>
    </xf>
    <xf numFmtId="0" fontId="22" fillId="8" borderId="0" xfId="18" applyFont="1" applyAlignment="1">
      <alignment vertical="center" wrapText="1"/>
    </xf>
    <xf numFmtId="10" fontId="22" fillId="8" borderId="0" xfId="3" applyNumberFormat="1" applyFont="1" applyFill="1" applyBorder="1" applyAlignment="1">
      <alignment vertical="center"/>
    </xf>
    <xf numFmtId="0" fontId="22" fillId="9" borderId="0" xfId="18" applyFont="1" applyFill="1">
      <alignment horizontal="center" vertical="center"/>
    </xf>
    <xf numFmtId="0" fontId="26" fillId="10" borderId="4" xfId="6" applyNumberFormat="1" applyFont="1" applyBorder="1">
      <alignment horizontal="center" vertical="center"/>
      <protection locked="0"/>
    </xf>
    <xf numFmtId="0" fontId="26" fillId="10" borderId="3" xfId="6" applyNumberFormat="1" applyFont="1" applyBorder="1">
      <alignment horizontal="center" vertical="center"/>
      <protection locked="0"/>
    </xf>
    <xf numFmtId="0" fontId="26" fillId="10" borderId="13" xfId="6" applyNumberFormat="1" applyFont="1" applyBorder="1">
      <alignment horizontal="center" vertical="center"/>
      <protection locked="0"/>
    </xf>
    <xf numFmtId="0" fontId="30" fillId="13" borderId="0" xfId="0" applyFont="1" applyFill="1">
      <alignment horizontal="left" vertical="center"/>
    </xf>
    <xf numFmtId="4" fontId="25" fillId="13" borderId="0" xfId="7" applyFont="1" applyFill="1" applyBorder="1">
      <alignment horizontal="center" vertical="center"/>
      <protection hidden="1"/>
    </xf>
    <xf numFmtId="49" fontId="24" fillId="5" borderId="0" xfId="5" applyFont="1">
      <alignment horizontal="left" vertical="center"/>
    </xf>
    <xf numFmtId="49" fontId="24" fillId="0" borderId="0" xfId="5" applyFont="1" applyFill="1" applyAlignment="1">
      <alignment vertical="center"/>
    </xf>
    <xf numFmtId="0" fontId="26" fillId="5" borderId="0" xfId="8" applyFont="1">
      <alignment horizontal="left" vertical="center"/>
    </xf>
    <xf numFmtId="0" fontId="32" fillId="0" borderId="0" xfId="0" applyFont="1" applyFill="1" applyAlignment="1" applyProtection="1">
      <alignment vertical="center"/>
      <protection locked="0"/>
    </xf>
    <xf numFmtId="44" fontId="23" fillId="9" borderId="0" xfId="19" applyFont="1" applyBorder="1">
      <alignment horizontal="center" vertical="center"/>
      <protection locked="0"/>
    </xf>
    <xf numFmtId="0" fontId="32" fillId="0" borderId="0" xfId="0" applyFont="1" applyFill="1" applyProtection="1">
      <alignment horizontal="left" vertical="center"/>
      <protection locked="0"/>
    </xf>
    <xf numFmtId="0" fontId="34" fillId="0" borderId="0" xfId="0" applyFont="1" applyFill="1" applyAlignment="1" applyProtection="1">
      <alignment vertical="center"/>
      <protection locked="0"/>
    </xf>
    <xf numFmtId="49" fontId="26" fillId="0" borderId="0" xfId="5" applyFont="1" applyFill="1" applyAlignment="1">
      <alignment horizontal="center" vertical="center"/>
    </xf>
    <xf numFmtId="1" fontId="23" fillId="0" borderId="0" xfId="12" applyNumberFormat="1" applyFont="1">
      <alignment horizontal="center" vertical="center"/>
    </xf>
    <xf numFmtId="44" fontId="23" fillId="9" borderId="5" xfId="19" applyFont="1">
      <alignment horizontal="center" vertical="center"/>
      <protection locked="0"/>
    </xf>
    <xf numFmtId="2" fontId="23" fillId="3" borderId="0" xfId="14" applyNumberFormat="1" applyFont="1">
      <alignment horizontal="center" vertical="center"/>
    </xf>
    <xf numFmtId="2" fontId="23" fillId="0" borderId="0" xfId="12" applyNumberFormat="1" applyFont="1">
      <alignment horizontal="center" vertical="center"/>
    </xf>
    <xf numFmtId="44" fontId="23" fillId="3" borderId="0" xfId="13" applyFont="1">
      <alignment horizontal="center" vertical="center"/>
    </xf>
    <xf numFmtId="44" fontId="23" fillId="0" borderId="0" xfId="12" applyFont="1">
      <alignment horizontal="center" vertical="center"/>
    </xf>
    <xf numFmtId="2" fontId="23" fillId="9" borderId="5" xfId="19" applyNumberFormat="1" applyFont="1" applyAlignment="1">
      <alignment horizontal="right" vertical="center"/>
      <protection locked="0"/>
    </xf>
    <xf numFmtId="44" fontId="23" fillId="9" borderId="8" xfId="19" applyFont="1" applyBorder="1">
      <alignment horizontal="center" vertical="center"/>
      <protection locked="0"/>
    </xf>
    <xf numFmtId="0" fontId="4" fillId="4" borderId="0" xfId="0" applyFont="1" applyAlignment="1">
      <alignment horizontal="center" vertical="center"/>
    </xf>
    <xf numFmtId="0" fontId="36" fillId="0" borderId="0" xfId="0" applyFont="1" applyFill="1" applyAlignment="1" applyProtection="1">
      <alignment horizontal="center" vertical="center"/>
      <protection locked="0"/>
    </xf>
    <xf numFmtId="42" fontId="22" fillId="2" borderId="0" xfId="9" applyFont="1">
      <alignment horizontal="center" vertical="center"/>
    </xf>
    <xf numFmtId="42" fontId="22" fillId="2" borderId="0" xfId="9" applyFont="1" applyAlignment="1">
      <alignment vertical="center"/>
    </xf>
    <xf numFmtId="0" fontId="22" fillId="0" borderId="0" xfId="0" applyFont="1" applyFill="1" applyAlignment="1" applyProtection="1">
      <alignment horizontal="center" vertical="center"/>
      <protection locked="0"/>
    </xf>
    <xf numFmtId="42" fontId="27" fillId="6" borderId="0" xfId="10" applyFont="1" applyAlignment="1">
      <alignment vertical="center"/>
    </xf>
    <xf numFmtId="0" fontId="27"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2" fillId="8" borderId="0" xfId="18" applyFont="1" applyAlignment="1">
      <alignment horizontal="left" vertical="center" wrapText="1"/>
    </xf>
    <xf numFmtId="44" fontId="27" fillId="7" borderId="0" xfId="11" applyFont="1" applyAlignment="1">
      <alignment vertical="center"/>
    </xf>
    <xf numFmtId="4" fontId="25" fillId="0" borderId="6" xfId="7" applyFont="1" applyAlignment="1">
      <alignment horizontal="left" vertical="center"/>
      <protection hidden="1"/>
    </xf>
    <xf numFmtId="4" fontId="25" fillId="0" borderId="9" xfId="7" applyFont="1" applyBorder="1">
      <alignment horizontal="center" vertical="center"/>
      <protection hidden="1"/>
    </xf>
    <xf numFmtId="4" fontId="25" fillId="0" borderId="0" xfId="7" applyFont="1" applyBorder="1" applyAlignment="1">
      <alignment horizontal="left" vertical="center"/>
      <protection hidden="1"/>
    </xf>
    <xf numFmtId="0" fontId="31" fillId="4" borderId="0" xfId="0" applyFont="1" applyAlignment="1" applyProtection="1">
      <alignment horizontal="center" vertical="center"/>
      <protection locked="0"/>
    </xf>
    <xf numFmtId="3" fontId="30" fillId="13" borderId="0" xfId="7" applyNumberFormat="1" applyFont="1" applyFill="1" applyBorder="1">
      <alignment horizontal="center" vertical="center"/>
      <protection hidden="1"/>
    </xf>
    <xf numFmtId="0" fontId="23" fillId="0" borderId="0" xfId="0" applyFont="1" applyFill="1" applyAlignment="1">
      <alignment horizontal="center" vertical="center"/>
    </xf>
    <xf numFmtId="14" fontId="23" fillId="0" borderId="0" xfId="12" applyNumberFormat="1" applyFont="1">
      <alignment horizontal="center" vertical="center"/>
    </xf>
    <xf numFmtId="3" fontId="37" fillId="13" borderId="0" xfId="7" applyNumberFormat="1" applyFont="1" applyFill="1" applyBorder="1">
      <alignment horizontal="center" vertical="center"/>
      <protection hidden="1"/>
    </xf>
    <xf numFmtId="3" fontId="30" fillId="13" borderId="6" xfId="7" applyNumberFormat="1" applyFont="1" applyFill="1">
      <alignment horizontal="center" vertical="center"/>
      <protection hidden="1"/>
    </xf>
    <xf numFmtId="0" fontId="17" fillId="5" borderId="0" xfId="8" applyAlignment="1">
      <alignment horizontal="center" vertical="center"/>
    </xf>
    <xf numFmtId="4" fontId="25" fillId="4" borderId="0" xfId="7" applyFont="1" applyFill="1" applyBorder="1">
      <alignment horizontal="center" vertical="center"/>
      <protection hidden="1"/>
    </xf>
    <xf numFmtId="0" fontId="4" fillId="0" borderId="0" xfId="0" applyFont="1" applyFill="1" applyAlignment="1">
      <alignment horizontal="center"/>
    </xf>
    <xf numFmtId="4" fontId="38" fillId="4" borderId="0" xfId="7" applyFont="1" applyFill="1" applyBorder="1">
      <alignment horizontal="center" vertical="center"/>
      <protection hidden="1"/>
    </xf>
    <xf numFmtId="4" fontId="38" fillId="0" borderId="0" xfId="7" applyFont="1" applyBorder="1">
      <alignment horizontal="center" vertical="center"/>
      <protection hidden="1"/>
    </xf>
    <xf numFmtId="0" fontId="4" fillId="4" borderId="0" xfId="0" applyFont="1" applyAlignment="1">
      <alignment horizontal="center"/>
    </xf>
    <xf numFmtId="4" fontId="25" fillId="0" borderId="7" xfId="7" applyFont="1" applyBorder="1">
      <alignment horizontal="center" vertical="center"/>
      <protection hidden="1"/>
    </xf>
    <xf numFmtId="0" fontId="23" fillId="4" borderId="0" xfId="0" applyFont="1">
      <alignment horizontal="left" vertical="center"/>
    </xf>
    <xf numFmtId="0" fontId="30" fillId="13" borderId="0" xfId="0" applyFont="1" applyFill="1" applyAlignment="1">
      <alignment horizontal="left" vertical="top"/>
    </xf>
    <xf numFmtId="4" fontId="25" fillId="4" borderId="9" xfId="7" applyFont="1" applyFill="1" applyBorder="1">
      <alignment horizontal="center" vertical="center"/>
      <protection hidden="1"/>
    </xf>
    <xf numFmtId="4" fontId="30" fillId="13" borderId="0" xfId="7" applyFont="1" applyFill="1" applyBorder="1">
      <alignment horizontal="center" vertical="center"/>
      <protection hidden="1"/>
    </xf>
    <xf numFmtId="0" fontId="3" fillId="13" borderId="0" xfId="0" applyFont="1" applyFill="1">
      <alignment horizontal="left" vertical="center"/>
    </xf>
    <xf numFmtId="4" fontId="25" fillId="0" borderId="14" xfId="7" applyFont="1" applyBorder="1">
      <alignment horizontal="center" vertical="center"/>
      <protection hidden="1"/>
    </xf>
    <xf numFmtId="0" fontId="3" fillId="0" borderId="0" xfId="0" applyFont="1" applyFill="1">
      <alignment horizontal="left" vertical="center"/>
    </xf>
    <xf numFmtId="0" fontId="3" fillId="4" borderId="0" xfId="0" applyFont="1" applyAlignment="1">
      <alignment vertical="center"/>
    </xf>
    <xf numFmtId="10" fontId="23" fillId="9" borderId="0" xfId="20" applyFont="1" applyBorder="1">
      <alignment horizontal="center" vertical="center"/>
      <protection locked="0"/>
    </xf>
    <xf numFmtId="0" fontId="3" fillId="4" borderId="0" xfId="0" applyFont="1">
      <alignment horizontal="left" vertical="center"/>
    </xf>
    <xf numFmtId="0" fontId="3" fillId="0" borderId="0" xfId="0" applyFont="1" applyFill="1" applyAlignment="1">
      <alignment horizontal="center"/>
    </xf>
    <xf numFmtId="0" fontId="33" fillId="0" borderId="0" xfId="0" applyFont="1" applyFill="1" applyAlignment="1">
      <alignment horizontal="center"/>
    </xf>
    <xf numFmtId="42" fontId="22" fillId="2" borderId="0" xfId="9" applyFont="1" applyAlignment="1">
      <alignment vertical="center" wrapText="1"/>
    </xf>
    <xf numFmtId="0" fontId="39" fillId="0" borderId="0" xfId="0" applyFont="1" applyFill="1" applyAlignment="1"/>
    <xf numFmtId="42" fontId="27" fillId="6" borderId="0" xfId="10" applyFont="1" applyAlignment="1">
      <alignment vertical="center" wrapText="1"/>
    </xf>
    <xf numFmtId="42" fontId="27" fillId="11" borderId="0" xfId="10" applyFont="1" applyFill="1" applyAlignment="1">
      <alignment vertical="center" wrapText="1"/>
    </xf>
    <xf numFmtId="164" fontId="27" fillId="11" borderId="0" xfId="10" applyNumberFormat="1" applyFont="1" applyFill="1">
      <alignment horizontal="center" vertical="center"/>
    </xf>
    <xf numFmtId="4" fontId="25" fillId="0" borderId="7" xfId="7" applyFont="1" applyBorder="1" applyAlignment="1">
      <alignment vertical="center"/>
      <protection hidden="1"/>
    </xf>
    <xf numFmtId="4" fontId="25" fillId="0" borderId="0" xfId="7" applyFont="1" applyBorder="1" applyAlignment="1">
      <alignment vertical="center"/>
      <protection hidden="1"/>
    </xf>
    <xf numFmtId="0" fontId="21" fillId="4" borderId="0" xfId="0" applyFont="1">
      <alignment horizontal="left" vertical="center"/>
    </xf>
    <xf numFmtId="0" fontId="3" fillId="13" borderId="0" xfId="0" applyFont="1" applyFill="1" applyAlignment="1">
      <alignment horizontal="center"/>
    </xf>
    <xf numFmtId="0" fontId="22" fillId="8" borderId="0" xfId="17" applyFont="1" applyAlignment="1">
      <alignment horizontal="left" vertical="center" wrapText="1"/>
    </xf>
    <xf numFmtId="0" fontId="22" fillId="13" borderId="0" xfId="0" applyFont="1" applyFill="1">
      <alignment horizontal="left" vertical="center"/>
    </xf>
    <xf numFmtId="0" fontId="22" fillId="0" borderId="0" xfId="0" applyFont="1" applyFill="1">
      <alignment horizontal="left" vertical="center"/>
    </xf>
    <xf numFmtId="8" fontId="27" fillId="7" borderId="0" xfId="11" applyNumberFormat="1" applyFont="1" applyAlignment="1">
      <alignment horizontal="center" vertical="center" wrapText="1"/>
    </xf>
    <xf numFmtId="44" fontId="27" fillId="7" borderId="0" xfId="11" applyFont="1" applyAlignment="1">
      <alignment horizontal="center" vertical="center" wrapText="1"/>
    </xf>
    <xf numFmtId="42" fontId="27" fillId="11" borderId="0" xfId="10" applyFont="1" applyFill="1" applyAlignment="1">
      <alignment horizontal="center" vertical="center" wrapText="1"/>
    </xf>
    <xf numFmtId="0" fontId="22" fillId="8" borderId="0" xfId="18" applyFont="1" applyAlignment="1">
      <alignment horizontal="right" vertical="center"/>
    </xf>
    <xf numFmtId="42" fontId="27" fillId="6" borderId="0" xfId="10" applyFont="1" applyAlignment="1">
      <alignment horizontal="right" vertical="center"/>
    </xf>
    <xf numFmtId="0" fontId="22" fillId="8" borderId="0" xfId="18" applyFont="1" applyAlignment="1">
      <alignment horizontal="right" vertical="center" wrapText="1"/>
    </xf>
    <xf numFmtId="42" fontId="22" fillId="2" borderId="0" xfId="9" applyFont="1" applyAlignment="1">
      <alignment horizontal="right" vertical="center"/>
    </xf>
    <xf numFmtId="44" fontId="27" fillId="7" borderId="0" xfId="11" applyFont="1" applyAlignment="1">
      <alignment horizontal="right" vertical="center"/>
    </xf>
    <xf numFmtId="0" fontId="22" fillId="5" borderId="2" xfId="17" applyFont="1" applyFill="1" applyBorder="1" applyAlignment="1">
      <alignment horizontal="centerContinuous" vertical="center"/>
    </xf>
    <xf numFmtId="0" fontId="22" fillId="5" borderId="12" xfId="17" applyFont="1" applyFill="1" applyBorder="1" applyAlignment="1">
      <alignment horizontal="centerContinuous" vertical="center"/>
    </xf>
    <xf numFmtId="0" fontId="22" fillId="5" borderId="1" xfId="17" applyFont="1" applyFill="1" applyBorder="1" applyAlignment="1">
      <alignment horizontal="centerContinuous" vertical="center"/>
    </xf>
    <xf numFmtId="0" fontId="22" fillId="8" borderId="10" xfId="17" applyFont="1" applyBorder="1" applyAlignment="1">
      <alignment vertical="center"/>
    </xf>
    <xf numFmtId="0" fontId="22" fillId="8" borderId="11" xfId="17" applyFont="1" applyBorder="1" applyAlignment="1">
      <alignment vertical="center"/>
    </xf>
    <xf numFmtId="0" fontId="22" fillId="8" borderId="11" xfId="17" applyFont="1" applyBorder="1" applyAlignment="1">
      <alignment horizontal="center" vertical="center"/>
    </xf>
    <xf numFmtId="0" fontId="22" fillId="8" borderId="11" xfId="18" applyFont="1" applyBorder="1">
      <alignment horizontal="center" vertical="center"/>
    </xf>
    <xf numFmtId="0" fontId="22" fillId="8" borderId="2" xfId="17" applyFont="1" applyBorder="1" applyAlignment="1">
      <alignment horizontal="center" vertical="center"/>
    </xf>
    <xf numFmtId="0" fontId="22" fillId="8" borderId="1" xfId="17" applyFont="1" applyBorder="1" applyAlignment="1">
      <alignment horizontal="center" vertical="center"/>
    </xf>
    <xf numFmtId="0" fontId="22" fillId="8" borderId="12" xfId="17" applyFont="1" applyBorder="1" applyAlignment="1">
      <alignment horizontal="center" vertical="center"/>
    </xf>
    <xf numFmtId="2" fontId="18" fillId="0" borderId="0" xfId="12" applyNumberFormat="1">
      <alignment horizontal="center" vertical="center"/>
    </xf>
    <xf numFmtId="9" fontId="25" fillId="0" borderId="6" xfId="3" applyFont="1" applyBorder="1" applyAlignment="1" applyProtection="1">
      <alignment horizontal="center" vertical="center"/>
      <protection hidden="1"/>
    </xf>
    <xf numFmtId="0" fontId="2" fillId="4" borderId="0" xfId="0" applyFont="1">
      <alignment horizontal="left" vertical="center"/>
    </xf>
    <xf numFmtId="0" fontId="26" fillId="10" borderId="0" xfId="6" applyNumberFormat="1" applyFont="1">
      <alignment horizontal="center" vertical="center"/>
      <protection locked="0"/>
    </xf>
    <xf numFmtId="9" fontId="25" fillId="0" borderId="16" xfId="3" applyFont="1" applyBorder="1" applyAlignment="1" applyProtection="1">
      <alignment horizontal="center" vertical="center"/>
      <protection hidden="1"/>
    </xf>
    <xf numFmtId="0" fontId="22" fillId="8" borderId="2" xfId="17" applyFont="1" applyBorder="1" applyAlignment="1">
      <alignment horizontal="centerContinuous" vertical="center"/>
    </xf>
    <xf numFmtId="0" fontId="22" fillId="8" borderId="12" xfId="17" applyFont="1" applyBorder="1" applyAlignment="1">
      <alignment horizontal="centerContinuous" vertical="center"/>
    </xf>
    <xf numFmtId="0" fontId="22" fillId="8" borderId="1" xfId="17" applyFont="1" applyBorder="1" applyAlignment="1">
      <alignment horizontal="centerContinuous" vertical="center"/>
    </xf>
    <xf numFmtId="0" fontId="2" fillId="0" borderId="0" xfId="0" applyFont="1" applyFill="1" applyAlignment="1" applyProtection="1">
      <alignment horizontal="center" vertical="center"/>
      <protection locked="0"/>
    </xf>
    <xf numFmtId="0" fontId="2" fillId="0" borderId="0" xfId="0" applyFont="1" applyFill="1" applyProtection="1">
      <alignment horizontal="left" vertical="center"/>
      <protection locked="0"/>
    </xf>
    <xf numFmtId="0" fontId="2" fillId="4" borderId="0" xfId="0" applyFont="1" applyAlignment="1" applyProtection="1">
      <alignment horizontal="center" vertical="center"/>
      <protection locked="0"/>
    </xf>
    <xf numFmtId="3" fontId="30" fillId="13" borderId="0" xfId="7" applyNumberFormat="1" applyFont="1" applyFill="1" applyBorder="1" applyAlignment="1">
      <alignment horizontal="center" vertical="center" wrapText="1"/>
      <protection hidden="1"/>
    </xf>
    <xf numFmtId="4" fontId="25" fillId="4" borderId="0" xfId="7" applyFont="1" applyFill="1" applyBorder="1" applyAlignment="1">
      <alignment horizontal="center" vertical="center" wrapText="1"/>
      <protection hidden="1"/>
    </xf>
    <xf numFmtId="4" fontId="25" fillId="0" borderId="0" xfId="7" applyFont="1" applyBorder="1" applyAlignment="1">
      <alignment horizontal="center" vertical="center" wrapText="1"/>
      <protection hidden="1"/>
    </xf>
    <xf numFmtId="0" fontId="22" fillId="8" borderId="10" xfId="18" applyFont="1" applyBorder="1">
      <alignment horizontal="center" vertical="center"/>
    </xf>
    <xf numFmtId="49" fontId="15" fillId="13" borderId="0" xfId="5" applyFill="1">
      <alignment horizontal="left" vertical="center"/>
    </xf>
    <xf numFmtId="44" fontId="26" fillId="10" borderId="0" xfId="12" applyFont="1" applyFill="1">
      <alignment horizontal="center" vertical="center"/>
    </xf>
    <xf numFmtId="4" fontId="25" fillId="0" borderId="16" xfId="7" applyFont="1" applyBorder="1">
      <alignment horizontal="center" vertical="center"/>
      <protection hidden="1"/>
    </xf>
    <xf numFmtId="44" fontId="23" fillId="0" borderId="18" xfId="12" applyFont="1" applyBorder="1">
      <alignment horizontal="center" vertical="center"/>
    </xf>
    <xf numFmtId="10" fontId="23" fillId="0" borderId="19" xfId="16" applyFont="1" applyBorder="1">
      <alignment horizontal="center" vertical="center"/>
    </xf>
    <xf numFmtId="0" fontId="22" fillId="4" borderId="19" xfId="18" applyFont="1" applyFill="1" applyBorder="1">
      <alignment horizontal="center" vertical="center"/>
    </xf>
    <xf numFmtId="44" fontId="22" fillId="4" borderId="20" xfId="0" applyNumberFormat="1" applyFont="1" applyBorder="1" applyAlignment="1">
      <alignment horizontal="centerContinuous" vertical="center"/>
    </xf>
    <xf numFmtId="0" fontId="22" fillId="4" borderId="21" xfId="0" applyFont="1" applyBorder="1" applyAlignment="1">
      <alignment horizontal="centerContinuous" vertical="center"/>
    </xf>
    <xf numFmtId="0" fontId="22" fillId="4" borderId="22" xfId="0" applyFont="1" applyBorder="1" applyAlignment="1">
      <alignment horizontal="centerContinuous" vertical="center"/>
    </xf>
    <xf numFmtId="44" fontId="22" fillId="4" borderId="23" xfId="0" applyNumberFormat="1" applyFont="1" applyBorder="1" applyAlignment="1">
      <alignment horizontal="centerContinuous" vertical="center"/>
    </xf>
    <xf numFmtId="0" fontId="22" fillId="4" borderId="0" xfId="0" applyFont="1" applyAlignment="1">
      <alignment horizontal="centerContinuous" vertical="center"/>
    </xf>
    <xf numFmtId="0" fontId="22" fillId="4" borderId="24" xfId="0" applyFont="1" applyBorder="1" applyAlignment="1">
      <alignment horizontal="centerContinuous" vertical="center"/>
    </xf>
    <xf numFmtId="4" fontId="25" fillId="0" borderId="25" xfId="7" applyFont="1" applyBorder="1">
      <alignment horizontal="center" vertical="center"/>
      <protection hidden="1"/>
    </xf>
    <xf numFmtId="1" fontId="23" fillId="0" borderId="19" xfId="12" applyNumberFormat="1" applyFont="1" applyBorder="1">
      <alignment horizontal="center" vertical="center"/>
    </xf>
    <xf numFmtId="1" fontId="23" fillId="0" borderId="22" xfId="12" applyNumberFormat="1" applyFont="1" applyBorder="1">
      <alignment horizontal="center" vertical="center"/>
    </xf>
    <xf numFmtId="4" fontId="25" fillId="0" borderId="16" xfId="7" applyFont="1" applyBorder="1" applyAlignment="1">
      <alignment horizontal="right" vertical="center"/>
      <protection hidden="1"/>
    </xf>
    <xf numFmtId="0" fontId="22" fillId="8" borderId="0" xfId="17" applyFont="1" applyAlignment="1">
      <alignment horizontal="right" vertical="center"/>
    </xf>
    <xf numFmtId="44" fontId="23" fillId="0" borderId="19" xfId="12" applyFont="1" applyBorder="1">
      <alignment horizontal="center" vertical="center"/>
    </xf>
    <xf numFmtId="44" fontId="23" fillId="0" borderId="22" xfId="12" applyFont="1" applyBorder="1">
      <alignment horizontal="center" vertical="center"/>
    </xf>
    <xf numFmtId="10" fontId="23" fillId="9" borderId="19" xfId="20" applyFont="1" applyBorder="1">
      <alignment horizontal="center" vertical="center"/>
      <protection locked="0"/>
    </xf>
    <xf numFmtId="10" fontId="23" fillId="9" borderId="20" xfId="20" applyFont="1" applyBorder="1">
      <alignment horizontal="center" vertical="center"/>
      <protection locked="0"/>
    </xf>
    <xf numFmtId="10" fontId="23" fillId="0" borderId="22" xfId="16" applyFont="1" applyBorder="1">
      <alignment horizontal="center" vertical="center"/>
    </xf>
    <xf numFmtId="0" fontId="22" fillId="0" borderId="21" xfId="18" applyFont="1" applyFill="1" applyBorder="1" applyAlignment="1">
      <alignment horizontal="centerContinuous" vertical="center" wrapText="1"/>
    </xf>
    <xf numFmtId="44" fontId="27" fillId="7" borderId="0" xfId="11" applyFont="1" applyAlignment="1">
      <alignment horizontal="left" vertical="center" wrapText="1"/>
    </xf>
    <xf numFmtId="44" fontId="26" fillId="10" borderId="19" xfId="12" applyFont="1" applyFill="1" applyBorder="1">
      <alignment horizontal="center" vertical="center"/>
    </xf>
    <xf numFmtId="4" fontId="25" fillId="0" borderId="19" xfId="7" applyFont="1" applyBorder="1">
      <alignment horizontal="center" vertical="center"/>
      <protection hidden="1"/>
    </xf>
    <xf numFmtId="42" fontId="23" fillId="0" borderId="19" xfId="12" applyNumberFormat="1" applyFont="1" applyBorder="1">
      <alignment horizontal="center" vertical="center"/>
    </xf>
    <xf numFmtId="44" fontId="23" fillId="9" borderId="19" xfId="19" applyFont="1" applyBorder="1">
      <alignment horizontal="center" vertical="center"/>
      <protection locked="0"/>
    </xf>
    <xf numFmtId="42" fontId="27" fillId="6" borderId="19" xfId="10" applyFont="1" applyBorder="1">
      <alignment horizontal="center" vertical="center"/>
    </xf>
    <xf numFmtId="8" fontId="23" fillId="0" borderId="19" xfId="12" applyNumberFormat="1" applyFont="1" applyBorder="1">
      <alignment horizontal="center" vertical="center"/>
    </xf>
    <xf numFmtId="9" fontId="18" fillId="0" borderId="19" xfId="3" applyFont="1" applyBorder="1" applyAlignment="1">
      <alignment horizontal="center" vertical="center"/>
    </xf>
    <xf numFmtId="9" fontId="18" fillId="14" borderId="19" xfId="3" applyFont="1" applyFill="1" applyBorder="1" applyAlignment="1">
      <alignment horizontal="center" vertical="center"/>
    </xf>
    <xf numFmtId="2" fontId="18" fillId="0" borderId="19" xfId="12" applyNumberFormat="1" applyBorder="1">
      <alignment horizontal="center" vertical="center"/>
    </xf>
    <xf numFmtId="10" fontId="23" fillId="0" borderId="19" xfId="3" applyNumberFormat="1" applyFont="1" applyBorder="1" applyAlignment="1">
      <alignment horizontal="center" vertical="center"/>
    </xf>
    <xf numFmtId="44" fontId="26" fillId="10" borderId="22" xfId="12" applyFont="1" applyFill="1" applyBorder="1">
      <alignment horizontal="center" vertical="center"/>
    </xf>
    <xf numFmtId="4" fontId="25" fillId="0" borderId="22" xfId="7" applyFont="1" applyBorder="1">
      <alignment horizontal="center" vertical="center"/>
      <protection hidden="1"/>
    </xf>
    <xf numFmtId="44" fontId="23" fillId="9" borderId="22" xfId="19" applyFont="1" applyBorder="1">
      <alignment horizontal="center" vertical="center"/>
      <protection locked="0"/>
    </xf>
    <xf numFmtId="42" fontId="27" fillId="6" borderId="22" xfId="10" applyFont="1" applyBorder="1">
      <alignment horizontal="center" vertical="center"/>
    </xf>
    <xf numFmtId="10" fontId="23" fillId="0" borderId="22" xfId="3" applyNumberFormat="1" applyFont="1" applyBorder="1" applyAlignment="1">
      <alignment horizontal="center" vertical="center"/>
    </xf>
    <xf numFmtId="3" fontId="22" fillId="8" borderId="0" xfId="18" applyNumberFormat="1" applyFont="1" applyAlignment="1">
      <alignment horizontal="left" vertical="center" wrapText="1"/>
    </xf>
    <xf numFmtId="42" fontId="22" fillId="2" borderId="0" xfId="9" applyFont="1" applyAlignment="1">
      <alignment horizontal="left" vertical="center"/>
    </xf>
    <xf numFmtId="42" fontId="22" fillId="2" borderId="0" xfId="9" applyFont="1" applyAlignment="1">
      <alignment horizontal="left" vertical="center" wrapText="1"/>
    </xf>
    <xf numFmtId="42" fontId="27" fillId="6" borderId="0" xfId="10" applyFont="1" applyAlignment="1">
      <alignment horizontal="left" vertical="center" wrapText="1"/>
    </xf>
    <xf numFmtId="0" fontId="22" fillId="9" borderId="0" xfId="18" applyFont="1" applyFill="1" applyAlignment="1">
      <alignment horizontal="left" vertical="center"/>
    </xf>
    <xf numFmtId="4" fontId="25" fillId="0" borderId="26" xfId="7" applyFont="1" applyBorder="1">
      <alignment horizontal="center" vertical="center"/>
      <protection hidden="1"/>
    </xf>
    <xf numFmtId="49" fontId="26" fillId="10" borderId="19" xfId="6" applyFont="1" applyBorder="1">
      <alignment horizontal="center" vertical="center"/>
      <protection locked="0"/>
    </xf>
    <xf numFmtId="0" fontId="26" fillId="10" borderId="19" xfId="6" applyNumberFormat="1" applyFont="1" applyBorder="1">
      <alignment horizontal="center" vertical="center"/>
      <protection locked="0"/>
    </xf>
    <xf numFmtId="49" fontId="23" fillId="0" borderId="19" xfId="16" applyNumberFormat="1" applyFont="1" applyBorder="1" applyAlignment="1">
      <alignment horizontal="center" vertical="center" wrapText="1"/>
    </xf>
    <xf numFmtId="10" fontId="23" fillId="0" borderId="19" xfId="16" applyFont="1" applyBorder="1" applyAlignment="1">
      <alignment horizontal="center" vertical="center" wrapText="1"/>
    </xf>
    <xf numFmtId="49" fontId="26" fillId="10" borderId="22" xfId="6" applyFont="1" applyBorder="1">
      <alignment horizontal="center" vertical="center"/>
      <protection locked="0"/>
    </xf>
    <xf numFmtId="49" fontId="23" fillId="0" borderId="22" xfId="16" applyNumberFormat="1" applyFont="1" applyBorder="1" applyAlignment="1">
      <alignment horizontal="center" vertical="center" wrapText="1"/>
    </xf>
    <xf numFmtId="166" fontId="23" fillId="0" borderId="0" xfId="12" applyNumberFormat="1" applyFont="1">
      <alignment horizontal="center" vertical="center"/>
    </xf>
    <xf numFmtId="0" fontId="17" fillId="5" borderId="0" xfId="8" applyAlignment="1">
      <alignment horizontal="left" vertical="center" indent="1"/>
    </xf>
    <xf numFmtId="0" fontId="1" fillId="4" borderId="0" xfId="0" applyFont="1" applyAlignment="1">
      <alignment vertical="center"/>
    </xf>
    <xf numFmtId="0" fontId="1" fillId="4" borderId="0" xfId="0" applyFont="1" applyAlignment="1">
      <alignment horizontal="left" vertical="center" indent="1"/>
    </xf>
    <xf numFmtId="0" fontId="1" fillId="4" borderId="0" xfId="0" applyFont="1">
      <alignment horizontal="left" vertical="center"/>
    </xf>
    <xf numFmtId="49" fontId="40" fillId="5" borderId="0" xfId="5" applyFont="1">
      <alignment horizontal="left" vertical="center"/>
    </xf>
    <xf numFmtId="49" fontId="28" fillId="5" borderId="0" xfId="5" applyFont="1">
      <alignment horizontal="left" vertical="center"/>
    </xf>
    <xf numFmtId="0" fontId="28" fillId="5" borderId="0" xfId="8" applyFont="1">
      <alignment horizontal="left" vertical="center"/>
    </xf>
    <xf numFmtId="0" fontId="28" fillId="5" borderId="0" xfId="8" applyFont="1" applyAlignment="1">
      <alignment vertical="center"/>
    </xf>
    <xf numFmtId="0" fontId="28" fillId="5" borderId="0" xfId="8" applyFont="1" applyAlignment="1">
      <alignment horizontal="left" vertical="center" wrapText="1"/>
    </xf>
    <xf numFmtId="49" fontId="40" fillId="5" borderId="0" xfId="5" applyFont="1" applyAlignment="1">
      <alignment vertical="center"/>
    </xf>
    <xf numFmtId="0" fontId="28" fillId="5" borderId="0" xfId="8" applyFont="1" applyAlignment="1">
      <alignment horizontal="right" vertical="center"/>
    </xf>
    <xf numFmtId="0" fontId="41" fillId="13" borderId="0" xfId="0" applyFont="1" applyFill="1">
      <alignment horizontal="left" vertical="center"/>
    </xf>
    <xf numFmtId="0" fontId="28" fillId="5" borderId="0" xfId="8" applyFont="1" applyAlignment="1">
      <alignment horizontal="center" vertical="center"/>
    </xf>
    <xf numFmtId="4" fontId="41" fillId="0" borderId="0" xfId="7" applyFont="1" applyBorder="1">
      <alignment horizontal="center" vertical="center"/>
      <protection hidden="1"/>
    </xf>
    <xf numFmtId="0" fontId="42" fillId="0" borderId="0" xfId="0" applyFont="1" applyFill="1" applyAlignment="1" applyProtection="1">
      <alignment horizontal="center" vertical="center"/>
      <protection locked="0"/>
    </xf>
    <xf numFmtId="0" fontId="28" fillId="5" borderId="0" xfId="18" applyFont="1" applyFill="1">
      <alignment horizontal="center" vertical="center"/>
    </xf>
    <xf numFmtId="0" fontId="28" fillId="5" borderId="0" xfId="18" applyFont="1" applyFill="1" applyAlignment="1">
      <alignment horizontal="centerContinuous" vertical="center"/>
    </xf>
    <xf numFmtId="0" fontId="41" fillId="0" borderId="0" xfId="0" applyFont="1" applyFill="1">
      <alignment horizontal="left" vertical="center"/>
    </xf>
    <xf numFmtId="0" fontId="41" fillId="13" borderId="0" xfId="0" applyFont="1" applyFill="1" applyAlignment="1">
      <alignment horizontal="left" vertical="center" wrapText="1"/>
    </xf>
    <xf numFmtId="0" fontId="28" fillId="5" borderId="0" xfId="18" applyFont="1" applyFill="1" applyAlignment="1">
      <alignment horizontal="center" vertical="center" wrapText="1"/>
    </xf>
    <xf numFmtId="0" fontId="41" fillId="0" borderId="0" xfId="0" applyFont="1" applyFill="1" applyAlignment="1">
      <alignment horizontal="left" vertical="center" wrapText="1"/>
    </xf>
    <xf numFmtId="0" fontId="28" fillId="5" borderId="0" xfId="18" applyFont="1" applyFill="1" applyAlignment="1">
      <alignment horizontal="left" vertical="center"/>
    </xf>
    <xf numFmtId="0" fontId="41" fillId="5" borderId="0" xfId="0" applyFont="1" applyFill="1">
      <alignment horizontal="left" vertical="center"/>
    </xf>
    <xf numFmtId="0" fontId="37" fillId="13" borderId="0" xfId="0" applyFont="1" applyFill="1">
      <alignment horizontal="left" vertical="center"/>
    </xf>
    <xf numFmtId="0" fontId="41" fillId="13" borderId="0" xfId="0" applyFont="1" applyFill="1" applyAlignment="1">
      <alignment vertical="center"/>
    </xf>
    <xf numFmtId="4" fontId="41" fillId="0" borderId="6" xfId="7" applyFont="1">
      <alignment horizontal="center" vertical="center"/>
      <protection hidden="1"/>
    </xf>
    <xf numFmtId="0" fontId="41" fillId="0" borderId="0" xfId="0" applyFont="1" applyFill="1" applyAlignment="1">
      <alignment vertical="center"/>
    </xf>
    <xf numFmtId="0" fontId="41" fillId="4" borderId="0" xfId="0" applyFont="1">
      <alignment horizontal="left" vertical="center"/>
    </xf>
    <xf numFmtId="4" fontId="41" fillId="0" borderId="26" xfId="7" applyFont="1" applyBorder="1">
      <alignment horizontal="center" vertical="center"/>
      <protection hidden="1"/>
    </xf>
    <xf numFmtId="4" fontId="41" fillId="0" borderId="27" xfId="7" applyFont="1" applyBorder="1">
      <alignment horizontal="center" vertical="center"/>
      <protection hidden="1"/>
    </xf>
    <xf numFmtId="0" fontId="1" fillId="4" borderId="0" xfId="0" applyFont="1" applyAlignment="1">
      <alignment horizontal="left" vertical="center" wrapText="1"/>
    </xf>
    <xf numFmtId="0" fontId="17" fillId="4" borderId="0" xfId="0" applyFont="1">
      <alignment horizontal="left" vertical="center"/>
    </xf>
    <xf numFmtId="0" fontId="1" fillId="13" borderId="0" xfId="0" applyFont="1" applyFill="1" applyAlignment="1">
      <alignment vertical="center"/>
    </xf>
    <xf numFmtId="0" fontId="1" fillId="0" borderId="0" xfId="0" applyFont="1" applyFill="1" applyAlignment="1">
      <alignment vertical="center"/>
    </xf>
    <xf numFmtId="0" fontId="1" fillId="13" borderId="0" xfId="0" applyFont="1" applyFill="1" applyAlignment="1">
      <alignment vertical="center" wrapText="1"/>
    </xf>
    <xf numFmtId="0" fontId="1" fillId="0" borderId="19" xfId="0" applyFont="1" applyFill="1" applyBorder="1" applyAlignment="1">
      <alignment vertical="center" wrapText="1"/>
    </xf>
    <xf numFmtId="0" fontId="1" fillId="0" borderId="0" xfId="0" applyFont="1" applyFill="1" applyAlignment="1">
      <alignment vertical="center" wrapText="1"/>
    </xf>
    <xf numFmtId="10" fontId="1" fillId="13" borderId="0" xfId="3" applyNumberFormat="1" applyFont="1" applyFill="1" applyBorder="1" applyAlignment="1">
      <alignment vertical="center"/>
    </xf>
    <xf numFmtId="10" fontId="1" fillId="0" borderId="0" xfId="3" applyNumberFormat="1" applyFont="1" applyFill="1" applyBorder="1" applyAlignment="1">
      <alignment vertical="center"/>
    </xf>
    <xf numFmtId="0" fontId="20" fillId="4" borderId="0" xfId="0" applyFont="1">
      <alignment horizontal="left" vertical="center"/>
    </xf>
    <xf numFmtId="3" fontId="41" fillId="13" borderId="0" xfId="7" applyNumberFormat="1" applyFont="1" applyFill="1" applyBorder="1">
      <alignment horizontal="center" vertical="center"/>
      <protection hidden="1"/>
    </xf>
    <xf numFmtId="4" fontId="41" fillId="4" borderId="0" xfId="7" applyFont="1" applyFill="1" applyBorder="1">
      <alignment horizontal="center" vertical="center"/>
      <protection hidden="1"/>
    </xf>
    <xf numFmtId="0" fontId="41" fillId="0" borderId="0" xfId="0" applyFont="1" applyFill="1" applyAlignment="1">
      <alignment horizontal="center"/>
    </xf>
    <xf numFmtId="0" fontId="41" fillId="4" borderId="0" xfId="0" applyFont="1" applyAlignment="1">
      <alignment vertical="center"/>
    </xf>
    <xf numFmtId="0" fontId="36" fillId="4" borderId="0" xfId="0" applyFont="1">
      <alignment horizontal="left" vertical="center"/>
    </xf>
    <xf numFmtId="0" fontId="4" fillId="13" borderId="0" xfId="0" applyFont="1" applyFill="1">
      <alignment horizontal="left" vertical="center"/>
    </xf>
    <xf numFmtId="0" fontId="1" fillId="4" borderId="0" xfId="0" applyFont="1" applyAlignment="1">
      <alignment horizontal="left" vertical="top" wrapText="1"/>
    </xf>
    <xf numFmtId="49" fontId="23" fillId="10" borderId="10" xfId="6" applyFont="1" applyBorder="1">
      <alignment horizontal="center" vertical="center"/>
      <protection locked="0"/>
    </xf>
    <xf numFmtId="44" fontId="23" fillId="0" borderId="11" xfId="12" applyFont="1" applyBorder="1">
      <alignment horizontal="center" vertical="center"/>
    </xf>
    <xf numFmtId="0" fontId="28" fillId="5" borderId="10" xfId="8" applyFont="1" applyBorder="1">
      <alignment horizontal="left" vertical="center"/>
    </xf>
    <xf numFmtId="0" fontId="28" fillId="5" borderId="11" xfId="8" applyFont="1" applyBorder="1">
      <alignment horizontal="left" vertical="center"/>
    </xf>
    <xf numFmtId="42" fontId="23" fillId="0" borderId="11" xfId="12" applyNumberFormat="1" applyFont="1" applyBorder="1">
      <alignment horizontal="center" vertical="center"/>
    </xf>
    <xf numFmtId="0" fontId="22" fillId="8" borderId="10" xfId="18" applyFont="1" applyBorder="1" applyAlignment="1">
      <alignment horizontal="center" vertical="center" wrapText="1"/>
    </xf>
    <xf numFmtId="0" fontId="22" fillId="8" borderId="11" xfId="18" applyFont="1" applyBorder="1" applyAlignment="1">
      <alignment horizontal="center" vertical="center" wrapText="1"/>
    </xf>
    <xf numFmtId="44" fontId="26" fillId="9" borderId="10" xfId="19" applyFont="1" applyBorder="1">
      <alignment horizontal="center" vertical="center"/>
      <protection locked="0"/>
    </xf>
    <xf numFmtId="44" fontId="23" fillId="0" borderId="4" xfId="12" applyFont="1" applyBorder="1">
      <alignment horizontal="center" vertical="center"/>
    </xf>
    <xf numFmtId="0" fontId="45" fillId="4" borderId="0" xfId="0" applyFont="1">
      <alignment horizontal="left" vertical="center"/>
    </xf>
    <xf numFmtId="0" fontId="47" fillId="13" borderId="0" xfId="0" applyFont="1" applyFill="1">
      <alignment horizontal="left" vertical="center"/>
    </xf>
    <xf numFmtId="0" fontId="47" fillId="4" borderId="0" xfId="0" applyFont="1">
      <alignment horizontal="left" vertical="center"/>
    </xf>
    <xf numFmtId="0" fontId="47" fillId="0" borderId="0" xfId="0" applyFont="1" applyFill="1">
      <alignment horizontal="left" vertical="center"/>
    </xf>
    <xf numFmtId="0" fontId="48" fillId="13" borderId="0" xfId="0" applyFont="1" applyFill="1">
      <alignment horizontal="left" vertical="center"/>
    </xf>
    <xf numFmtId="0" fontId="47" fillId="4" borderId="0" xfId="0" applyFont="1" applyAlignment="1">
      <alignment vertical="center"/>
    </xf>
    <xf numFmtId="4" fontId="49" fillId="0" borderId="0" xfId="7" applyFont="1" applyBorder="1">
      <alignment horizontal="center" vertical="center"/>
      <protection hidden="1"/>
    </xf>
    <xf numFmtId="0" fontId="50" fillId="0" borderId="0" xfId="0" applyFont="1" applyFill="1" applyProtection="1">
      <alignment horizontal="left" vertical="center"/>
      <protection locked="0"/>
    </xf>
    <xf numFmtId="3" fontId="48" fillId="13" borderId="0" xfId="7" applyNumberFormat="1" applyFont="1" applyFill="1" applyBorder="1">
      <alignment horizontal="center" vertical="center"/>
      <protection hidden="1"/>
    </xf>
    <xf numFmtId="4" fontId="49" fillId="4" borderId="0" xfId="7" applyFont="1" applyFill="1" applyBorder="1">
      <alignment horizontal="center" vertical="center"/>
      <protection hidden="1"/>
    </xf>
    <xf numFmtId="0" fontId="47" fillId="0" borderId="0" xfId="0" applyFont="1" applyFill="1" applyAlignment="1">
      <alignment horizontal="center"/>
    </xf>
    <xf numFmtId="0" fontId="27" fillId="4" borderId="0" xfId="0" applyFont="1" applyAlignment="1">
      <alignment vertical="center"/>
    </xf>
    <xf numFmtId="44" fontId="23" fillId="0" borderId="18" xfId="12" applyFont="1" applyBorder="1" applyAlignment="1">
      <alignment horizontal="center"/>
    </xf>
    <xf numFmtId="0" fontId="1" fillId="13" borderId="0" xfId="0" applyFont="1" applyFill="1">
      <alignment horizontal="left" vertical="center"/>
    </xf>
    <xf numFmtId="0" fontId="1" fillId="10" borderId="0" xfId="0" applyFont="1" applyFill="1" applyAlignment="1">
      <alignment vertical="center"/>
    </xf>
    <xf numFmtId="0" fontId="23" fillId="4" borderId="0" xfId="0" applyFont="1" applyAlignment="1">
      <alignment vertical="center"/>
    </xf>
    <xf numFmtId="0" fontId="23" fillId="13" borderId="0" xfId="0" applyFont="1" applyFill="1">
      <alignment horizontal="left" vertical="center"/>
    </xf>
    <xf numFmtId="4" fontId="23" fillId="0" borderId="0" xfId="7" applyFont="1" applyBorder="1">
      <alignment horizontal="center" vertical="center"/>
      <protection hidden="1"/>
    </xf>
    <xf numFmtId="0" fontId="51" fillId="0" borderId="0" xfId="0" applyFont="1" applyFill="1" applyProtection="1">
      <alignment horizontal="left" vertical="center"/>
      <protection locked="0"/>
    </xf>
    <xf numFmtId="0" fontId="22" fillId="15" borderId="12" xfId="18" applyFont="1" applyFill="1" applyBorder="1" applyAlignment="1">
      <alignment horizontal="centerContinuous" vertical="center"/>
    </xf>
    <xf numFmtId="0" fontId="22" fillId="15" borderId="1" xfId="18" applyFont="1" applyFill="1" applyBorder="1" applyAlignment="1">
      <alignment horizontal="centerContinuous" vertical="center"/>
    </xf>
    <xf numFmtId="0" fontId="22" fillId="15" borderId="2" xfId="18" applyFont="1" applyFill="1" applyBorder="1" applyAlignment="1">
      <alignment horizontal="centerContinuous" vertical="center"/>
    </xf>
    <xf numFmtId="0" fontId="22" fillId="16" borderId="12" xfId="18" applyFont="1" applyFill="1" applyBorder="1" applyAlignment="1">
      <alignment horizontal="centerContinuous" vertical="center"/>
    </xf>
    <xf numFmtId="0" fontId="22" fillId="16" borderId="1" xfId="18" applyFont="1" applyFill="1" applyBorder="1" applyAlignment="1">
      <alignment horizontal="centerContinuous" vertical="center"/>
    </xf>
    <xf numFmtId="10" fontId="23" fillId="0" borderId="30" xfId="16" applyFont="1" applyBorder="1">
      <alignment horizontal="center" vertical="center"/>
    </xf>
    <xf numFmtId="10" fontId="23" fillId="0" borderId="31" xfId="16" applyFont="1" applyBorder="1">
      <alignment horizontal="center" vertical="center"/>
    </xf>
    <xf numFmtId="10" fontId="23" fillId="9" borderId="30" xfId="20" applyFont="1" applyBorder="1">
      <alignment horizontal="center" vertical="center"/>
      <protection locked="0"/>
    </xf>
    <xf numFmtId="10" fontId="23" fillId="9" borderId="31" xfId="20" applyFont="1" applyBorder="1">
      <alignment horizontal="center" vertical="center"/>
      <protection locked="0"/>
    </xf>
    <xf numFmtId="4" fontId="25" fillId="0" borderId="30" xfId="7" applyFont="1" applyBorder="1">
      <alignment horizontal="center" vertical="center"/>
      <protection hidden="1"/>
    </xf>
    <xf numFmtId="4" fontId="25" fillId="0" borderId="31" xfId="7" applyFont="1" applyBorder="1">
      <alignment horizontal="center" vertical="center"/>
      <protection hidden="1"/>
    </xf>
    <xf numFmtId="10" fontId="23" fillId="4" borderId="30" xfId="16" applyFont="1" applyFill="1" applyBorder="1">
      <alignment horizontal="center" vertical="center"/>
    </xf>
    <xf numFmtId="10" fontId="23" fillId="9" borderId="32" xfId="20" applyFont="1" applyBorder="1">
      <alignment horizontal="center" vertical="center"/>
      <protection locked="0"/>
    </xf>
    <xf numFmtId="10" fontId="23" fillId="9" borderId="33" xfId="20" applyFont="1" applyBorder="1">
      <alignment horizontal="center" vertical="center"/>
      <protection locked="0"/>
    </xf>
    <xf numFmtId="0" fontId="22" fillId="17" borderId="28" xfId="18" applyFont="1" applyFill="1" applyBorder="1" applyAlignment="1">
      <alignment horizontal="centerContinuous" vertical="center"/>
    </xf>
    <xf numFmtId="0" fontId="22" fillId="17" borderId="29" xfId="18" applyFont="1" applyFill="1" applyBorder="1" applyAlignment="1">
      <alignment horizontal="centerContinuous" vertical="center"/>
    </xf>
    <xf numFmtId="0" fontId="22" fillId="17" borderId="28" xfId="17" applyFont="1" applyFill="1" applyBorder="1" applyAlignment="1">
      <alignment horizontal="center" vertical="center"/>
    </xf>
    <xf numFmtId="0" fontId="22" fillId="17" borderId="29" xfId="17" applyFont="1" applyFill="1" applyBorder="1" applyAlignment="1">
      <alignment horizontal="center" vertical="center"/>
    </xf>
    <xf numFmtId="0" fontId="22" fillId="17" borderId="29" xfId="18" applyFont="1" applyFill="1" applyBorder="1">
      <alignment horizontal="center" vertical="center"/>
    </xf>
    <xf numFmtId="0" fontId="22" fillId="15" borderId="10" xfId="17" applyFont="1" applyFill="1" applyBorder="1" applyAlignment="1">
      <alignment vertical="center"/>
    </xf>
    <xf numFmtId="0" fontId="22" fillId="15" borderId="0" xfId="17" applyFont="1" applyFill="1" applyAlignment="1">
      <alignment vertical="center"/>
    </xf>
    <xf numFmtId="0" fontId="22" fillId="15" borderId="11" xfId="17" applyFont="1" applyFill="1" applyBorder="1" applyAlignment="1">
      <alignment vertical="center"/>
    </xf>
    <xf numFmtId="0" fontId="22" fillId="17" borderId="12" xfId="18" applyFont="1" applyFill="1" applyBorder="1" applyAlignment="1">
      <alignment horizontal="centerContinuous" vertical="center"/>
    </xf>
    <xf numFmtId="0" fontId="22" fillId="17" borderId="1" xfId="18" applyFont="1" applyFill="1" applyBorder="1" applyAlignment="1">
      <alignment horizontal="centerContinuous" vertical="center"/>
    </xf>
    <xf numFmtId="0" fontId="22" fillId="16" borderId="2" xfId="18" applyFont="1" applyFill="1" applyBorder="1" applyAlignment="1">
      <alignment horizontal="centerContinuous" vertical="center"/>
    </xf>
    <xf numFmtId="0" fontId="22" fillId="16" borderId="10" xfId="17" applyFont="1" applyFill="1" applyBorder="1" applyAlignment="1">
      <alignment vertical="center"/>
    </xf>
    <xf numFmtId="0" fontId="22" fillId="16" borderId="0" xfId="17" applyFont="1" applyFill="1" applyAlignment="1">
      <alignment vertical="center"/>
    </xf>
    <xf numFmtId="0" fontId="22" fillId="16" borderId="11" xfId="17" applyFont="1" applyFill="1" applyBorder="1" applyAlignment="1">
      <alignment vertical="center"/>
    </xf>
    <xf numFmtId="0" fontId="22" fillId="17" borderId="34" xfId="18" applyFont="1" applyFill="1" applyBorder="1" applyAlignment="1">
      <alignment horizontal="centerContinuous" vertical="center"/>
    </xf>
    <xf numFmtId="10" fontId="23" fillId="9" borderId="35" xfId="20" applyFont="1" applyBorder="1">
      <alignment horizontal="center" vertical="center"/>
      <protection locked="0"/>
    </xf>
    <xf numFmtId="0" fontId="22" fillId="8" borderId="28" xfId="18" applyFont="1" applyBorder="1" applyAlignment="1">
      <alignment horizontal="centerContinuous" vertical="center"/>
    </xf>
    <xf numFmtId="0" fontId="22" fillId="8" borderId="34" xfId="17" applyFont="1" applyBorder="1" applyAlignment="1">
      <alignment horizontal="center" vertical="center"/>
    </xf>
    <xf numFmtId="0" fontId="22" fillId="8" borderId="29" xfId="17" applyFont="1" applyBorder="1" applyAlignment="1">
      <alignment horizontal="center" vertical="center"/>
    </xf>
    <xf numFmtId="0" fontId="22" fillId="8" borderId="28" xfId="17" applyFont="1" applyBorder="1" applyAlignment="1">
      <alignment horizontal="center" vertical="center"/>
    </xf>
    <xf numFmtId="0" fontId="22" fillId="8" borderId="29" xfId="18" applyFont="1" applyBorder="1">
      <alignment horizontal="center" vertical="center"/>
    </xf>
    <xf numFmtId="0" fontId="22" fillId="17" borderId="2" xfId="18" applyFont="1" applyFill="1" applyBorder="1" applyAlignment="1">
      <alignment horizontal="centerContinuous" vertical="center"/>
    </xf>
    <xf numFmtId="0" fontId="22" fillId="17" borderId="10" xfId="17" applyFont="1" applyFill="1" applyBorder="1" applyAlignment="1">
      <alignment vertical="center"/>
    </xf>
    <xf numFmtId="0" fontId="22" fillId="17" borderId="0" xfId="17" applyFont="1" applyFill="1" applyAlignment="1">
      <alignment vertical="center"/>
    </xf>
    <xf numFmtId="0" fontId="22" fillId="17" borderId="11" xfId="17" applyFont="1" applyFill="1" applyBorder="1" applyAlignment="1">
      <alignment vertical="center"/>
    </xf>
    <xf numFmtId="0" fontId="22" fillId="8" borderId="34" xfId="18" applyFont="1" applyBorder="1" applyAlignment="1">
      <alignment horizontal="centerContinuous" vertical="center"/>
    </xf>
    <xf numFmtId="0" fontId="22" fillId="8" borderId="29" xfId="18" applyFont="1" applyBorder="1" applyAlignment="1">
      <alignment horizontal="centerContinuous" vertical="center"/>
    </xf>
    <xf numFmtId="0" fontId="22" fillId="15" borderId="12" xfId="17" applyFont="1" applyFill="1" applyBorder="1" applyAlignment="1">
      <alignment horizontal="centerContinuous" vertical="center"/>
    </xf>
    <xf numFmtId="0" fontId="22" fillId="15" borderId="1" xfId="17" applyFont="1" applyFill="1" applyBorder="1" applyAlignment="1">
      <alignment horizontal="centerContinuous" vertical="center"/>
    </xf>
    <xf numFmtId="0" fontId="22" fillId="16" borderId="2" xfId="17" applyFont="1" applyFill="1" applyBorder="1" applyAlignment="1">
      <alignment horizontal="centerContinuous" vertical="center"/>
    </xf>
    <xf numFmtId="0" fontId="22" fillId="16" borderId="12" xfId="17" applyFont="1" applyFill="1" applyBorder="1" applyAlignment="1">
      <alignment horizontal="centerContinuous" vertical="center"/>
    </xf>
    <xf numFmtId="0" fontId="22" fillId="16" borderId="1" xfId="17" applyFont="1" applyFill="1" applyBorder="1" applyAlignment="1">
      <alignment horizontal="centerContinuous" vertical="center"/>
    </xf>
    <xf numFmtId="42" fontId="23" fillId="0" borderId="30" xfId="12" applyNumberFormat="1" applyFont="1" applyBorder="1">
      <alignment horizontal="center" vertical="center"/>
    </xf>
    <xf numFmtId="42" fontId="23" fillId="0" borderId="31" xfId="12" applyNumberFormat="1" applyFont="1" applyBorder="1">
      <alignment horizontal="center" vertical="center"/>
    </xf>
    <xf numFmtId="44" fontId="23" fillId="9" borderId="30" xfId="19" applyFont="1" applyBorder="1">
      <alignment horizontal="center" vertical="center"/>
      <protection locked="0"/>
    </xf>
    <xf numFmtId="44" fontId="23" fillId="9" borderId="31" xfId="19" applyFont="1" applyBorder="1">
      <alignment horizontal="center" vertical="center"/>
      <protection locked="0"/>
    </xf>
    <xf numFmtId="42" fontId="27" fillId="6" borderId="30" xfId="10" applyFont="1" applyBorder="1">
      <alignment horizontal="center" vertical="center"/>
    </xf>
    <xf numFmtId="42" fontId="27" fillId="6" borderId="31" xfId="10" applyFont="1" applyBorder="1">
      <alignment horizontal="center" vertical="center"/>
    </xf>
    <xf numFmtId="8" fontId="23" fillId="0" borderId="30" xfId="12" applyNumberFormat="1" applyFont="1" applyBorder="1">
      <alignment horizontal="center" vertical="center"/>
    </xf>
    <xf numFmtId="8" fontId="23" fillId="0" borderId="31" xfId="12" applyNumberFormat="1" applyFont="1" applyBorder="1">
      <alignment horizontal="center" vertical="center"/>
    </xf>
    <xf numFmtId="9" fontId="18" fillId="0" borderId="30" xfId="3" applyFont="1" applyBorder="1" applyAlignment="1">
      <alignment horizontal="center" vertical="center"/>
    </xf>
    <xf numFmtId="9" fontId="18" fillId="0" borderId="31" xfId="3" applyFont="1" applyBorder="1" applyAlignment="1">
      <alignment horizontal="center" vertical="center"/>
    </xf>
    <xf numFmtId="2" fontId="18" fillId="0" borderId="30" xfId="12" applyNumberFormat="1" applyBorder="1">
      <alignment horizontal="center" vertical="center"/>
    </xf>
    <xf numFmtId="2" fontId="18" fillId="0" borderId="31" xfId="12" applyNumberFormat="1" applyBorder="1">
      <alignment horizontal="center" vertical="center"/>
    </xf>
    <xf numFmtId="10" fontId="23" fillId="0" borderId="32" xfId="3" applyNumberFormat="1" applyFont="1" applyBorder="1" applyAlignment="1">
      <alignment horizontal="center" vertical="center"/>
    </xf>
    <xf numFmtId="10" fontId="23" fillId="0" borderId="33" xfId="3" applyNumberFormat="1" applyFont="1" applyBorder="1" applyAlignment="1">
      <alignment horizontal="center" vertical="center"/>
    </xf>
    <xf numFmtId="9" fontId="18" fillId="14" borderId="30" xfId="3" applyFont="1" applyFill="1" applyBorder="1" applyAlignment="1">
      <alignment horizontal="center" vertical="center"/>
    </xf>
    <xf numFmtId="9" fontId="18" fillId="14" borderId="31" xfId="3" applyFont="1" applyFill="1" applyBorder="1" applyAlignment="1">
      <alignment horizontal="center" vertical="center"/>
    </xf>
    <xf numFmtId="10" fontId="23" fillId="0" borderId="35" xfId="3" applyNumberFormat="1" applyFont="1" applyBorder="1" applyAlignment="1">
      <alignment horizontal="center" vertical="center"/>
    </xf>
    <xf numFmtId="0" fontId="22" fillId="17" borderId="2" xfId="17" applyFont="1" applyFill="1" applyBorder="1" applyAlignment="1">
      <alignment horizontal="centerContinuous" vertical="center"/>
    </xf>
    <xf numFmtId="0" fontId="22" fillId="17" borderId="12" xfId="17" applyFont="1" applyFill="1" applyBorder="1" applyAlignment="1">
      <alignment horizontal="centerContinuous" vertical="center"/>
    </xf>
    <xf numFmtId="0" fontId="22" fillId="17" borderId="1" xfId="17" applyFont="1" applyFill="1" applyBorder="1" applyAlignment="1">
      <alignment horizontal="centerContinuous" vertical="center"/>
    </xf>
    <xf numFmtId="0" fontId="1" fillId="0" borderId="0" xfId="0" applyFont="1" applyFill="1">
      <alignment horizontal="left" vertical="center"/>
    </xf>
    <xf numFmtId="4" fontId="23" fillId="13" borderId="0" xfId="7" applyFont="1" applyFill="1" applyBorder="1">
      <alignment horizontal="center" vertical="center"/>
      <protection hidden="1"/>
    </xf>
    <xf numFmtId="0" fontId="1" fillId="4" borderId="0" xfId="0" applyFont="1" applyAlignment="1">
      <alignment horizontal="center" vertical="center"/>
    </xf>
    <xf numFmtId="0" fontId="23" fillId="4" borderId="0" xfId="0" applyFont="1" applyAlignment="1">
      <alignment horizontal="left" vertical="center" wrapText="1"/>
    </xf>
    <xf numFmtId="0" fontId="27" fillId="4" borderId="0" xfId="0" applyFont="1">
      <alignment horizontal="left" vertical="center"/>
    </xf>
    <xf numFmtId="10" fontId="23" fillId="4" borderId="31" xfId="16" applyFont="1" applyFill="1" applyBorder="1">
      <alignment horizontal="center" vertical="center"/>
    </xf>
    <xf numFmtId="10" fontId="23" fillId="4" borderId="19" xfId="16" applyFont="1" applyFill="1" applyBorder="1">
      <alignment horizontal="center" vertical="center"/>
    </xf>
    <xf numFmtId="0" fontId="3" fillId="4" borderId="0" xfId="0" applyFont="1" applyAlignment="1">
      <alignment horizontal="center"/>
    </xf>
    <xf numFmtId="0" fontId="44" fillId="8" borderId="0" xfId="18" applyFont="1" applyAlignment="1">
      <alignment horizontal="left" vertical="center" wrapText="1"/>
    </xf>
    <xf numFmtId="40" fontId="23" fillId="0" borderId="19" xfId="12" applyNumberFormat="1" applyFont="1" applyBorder="1">
      <alignment horizontal="center" vertical="center"/>
    </xf>
    <xf numFmtId="0" fontId="47" fillId="4" borderId="39" xfId="0" applyFont="1" applyBorder="1" applyAlignment="1">
      <alignment horizontal="center" vertical="center" wrapText="1"/>
    </xf>
    <xf numFmtId="0" fontId="53" fillId="4" borderId="39" xfId="0" applyFont="1" applyBorder="1" applyAlignment="1">
      <alignment horizontal="center" vertical="center" wrapText="1"/>
    </xf>
    <xf numFmtId="0" fontId="54" fillId="4" borderId="39" xfId="0" applyFont="1" applyBorder="1" applyAlignment="1">
      <alignment horizontal="center" vertical="center" wrapText="1"/>
    </xf>
    <xf numFmtId="0" fontId="47" fillId="4" borderId="0" xfId="0" applyFont="1" applyAlignment="1">
      <alignment horizontal="left" vertical="center" wrapText="1"/>
    </xf>
    <xf numFmtId="0" fontId="47" fillId="4" borderId="0" xfId="0" applyFont="1" applyAlignment="1">
      <alignment horizontal="center" vertical="center" wrapText="1"/>
    </xf>
    <xf numFmtId="0" fontId="55" fillId="5" borderId="36" xfId="0" applyFont="1" applyFill="1" applyBorder="1" applyAlignment="1">
      <alignment horizontal="center" vertical="center" wrapText="1"/>
    </xf>
    <xf numFmtId="0" fontId="55" fillId="5" borderId="37" xfId="0" applyFont="1" applyFill="1" applyBorder="1" applyAlignment="1">
      <alignment horizontal="center" vertical="center" wrapText="1"/>
    </xf>
    <xf numFmtId="0" fontId="47" fillId="12" borderId="39" xfId="0" applyFont="1" applyFill="1" applyBorder="1" applyAlignment="1">
      <alignment horizontal="center" vertical="center" wrapText="1"/>
    </xf>
    <xf numFmtId="0" fontId="47" fillId="11" borderId="39" xfId="0" applyFont="1" applyFill="1" applyBorder="1" applyAlignment="1">
      <alignment horizontal="center" vertical="center" wrapText="1"/>
    </xf>
    <xf numFmtId="0" fontId="46" fillId="4" borderId="0" xfId="0" applyFont="1" applyAlignment="1">
      <alignment vertical="center"/>
    </xf>
    <xf numFmtId="0" fontId="46" fillId="4" borderId="0" xfId="0" applyFont="1">
      <alignment horizontal="left" vertical="center"/>
    </xf>
    <xf numFmtId="42" fontId="1" fillId="2" borderId="0" xfId="9" applyFont="1">
      <alignment horizontal="center" vertical="center"/>
    </xf>
    <xf numFmtId="0" fontId="1" fillId="0" borderId="0" xfId="0" applyFont="1" applyFill="1" applyAlignment="1">
      <alignment horizontal="center"/>
    </xf>
    <xf numFmtId="0" fontId="1" fillId="8" borderId="0" xfId="18" applyFont="1">
      <alignment horizontal="center" vertical="center"/>
    </xf>
    <xf numFmtId="0" fontId="1" fillId="4" borderId="10" xfId="0" applyFont="1" applyBorder="1" applyAlignment="1">
      <alignment vertical="center"/>
    </xf>
    <xf numFmtId="0" fontId="1" fillId="4" borderId="11" xfId="0" applyFont="1" applyBorder="1" applyAlignment="1">
      <alignment vertical="center"/>
    </xf>
    <xf numFmtId="0" fontId="1" fillId="4" borderId="0" xfId="0" applyFont="1" applyAlignment="1">
      <alignment vertical="center" wrapText="1"/>
    </xf>
    <xf numFmtId="0" fontId="1" fillId="8" borderId="0" xfId="18" applyFont="1" applyAlignment="1">
      <alignment horizontal="center" vertical="center" wrapText="1"/>
    </xf>
    <xf numFmtId="165" fontId="1" fillId="2" borderId="10" xfId="9" applyNumberFormat="1" applyFont="1" applyBorder="1">
      <alignment horizontal="center" vertical="center"/>
    </xf>
    <xf numFmtId="42" fontId="1" fillId="2" borderId="11" xfId="9" applyFont="1" applyBorder="1">
      <alignment horizontal="center" vertical="center"/>
    </xf>
    <xf numFmtId="10" fontId="1" fillId="2" borderId="11" xfId="3" applyNumberFormat="1" applyFont="1" applyFill="1" applyBorder="1" applyAlignment="1">
      <alignment horizontal="center" vertical="center"/>
    </xf>
    <xf numFmtId="0" fontId="1" fillId="4" borderId="20" xfId="0" applyFont="1" applyBorder="1" applyAlignment="1">
      <alignment vertical="center"/>
    </xf>
    <xf numFmtId="0" fontId="1" fillId="4" borderId="21" xfId="0" applyFont="1" applyBorder="1">
      <alignment horizontal="left" vertical="center"/>
    </xf>
    <xf numFmtId="0" fontId="1" fillId="4" borderId="22" xfId="0" applyFont="1" applyBorder="1">
      <alignment horizontal="left" vertical="center"/>
    </xf>
    <xf numFmtId="0" fontId="1" fillId="5" borderId="0" xfId="0" applyFont="1" applyFill="1">
      <alignment horizontal="left" vertical="center"/>
    </xf>
    <xf numFmtId="10" fontId="1" fillId="2" borderId="0" xfId="3" applyNumberFormat="1" applyFont="1" applyFill="1" applyBorder="1" applyAlignment="1">
      <alignment horizontal="center" vertical="center"/>
    </xf>
    <xf numFmtId="0" fontId="1" fillId="13" borderId="0" xfId="0" applyFont="1" applyFill="1" applyAlignment="1">
      <alignment horizontal="center"/>
    </xf>
    <xf numFmtId="42" fontId="1" fillId="2" borderId="30" xfId="9" applyFont="1" applyBorder="1">
      <alignment horizontal="center" vertical="center"/>
    </xf>
    <xf numFmtId="42" fontId="1" fillId="2" borderId="31" xfId="9" applyFont="1" applyBorder="1">
      <alignment horizontal="center" vertical="center"/>
    </xf>
    <xf numFmtId="42" fontId="1" fillId="2" borderId="19" xfId="9" applyFont="1" applyBorder="1">
      <alignment horizontal="center" vertical="center"/>
    </xf>
    <xf numFmtId="0" fontId="1" fillId="14" borderId="20" xfId="0" applyFont="1" applyFill="1" applyBorder="1" applyAlignment="1">
      <alignment vertical="center"/>
    </xf>
    <xf numFmtId="9" fontId="1" fillId="0" borderId="0" xfId="0" applyNumberFormat="1" applyFont="1" applyFill="1">
      <alignment horizontal="left" vertical="center"/>
    </xf>
    <xf numFmtId="8" fontId="1" fillId="0" borderId="0" xfId="0" applyNumberFormat="1" applyFont="1" applyFill="1">
      <alignment horizontal="left" vertical="center"/>
    </xf>
    <xf numFmtId="0" fontId="1" fillId="0" borderId="19" xfId="0" applyFont="1" applyFill="1" applyBorder="1" applyAlignment="1">
      <alignment vertical="center"/>
    </xf>
    <xf numFmtId="10" fontId="1" fillId="0" borderId="19" xfId="0" applyNumberFormat="1" applyFont="1" applyFill="1" applyBorder="1" applyAlignment="1">
      <alignment horizontal="center" vertical="center"/>
    </xf>
    <xf numFmtId="0" fontId="1" fillId="0" borderId="20" xfId="0" applyFont="1" applyFill="1" applyBorder="1" applyAlignment="1">
      <alignment horizontal="centerContinuous" vertical="center" wrapText="1"/>
    </xf>
    <xf numFmtId="0" fontId="1" fillId="0" borderId="21" xfId="0" applyFont="1" applyFill="1" applyBorder="1" applyAlignment="1">
      <alignment horizontal="centerContinuous" vertical="center"/>
    </xf>
    <xf numFmtId="10" fontId="1" fillId="0" borderId="19" xfId="0" applyNumberFormat="1" applyFont="1" applyFill="1" applyBorder="1" applyAlignment="1">
      <alignment vertical="center" wrapText="1"/>
    </xf>
    <xf numFmtId="0" fontId="1" fillId="0" borderId="19" xfId="0" applyFont="1" applyFill="1" applyBorder="1" applyAlignment="1">
      <alignment horizontal="center" vertical="center"/>
    </xf>
    <xf numFmtId="0" fontId="1" fillId="0" borderId="21" xfId="0" applyFont="1" applyFill="1" applyBorder="1" applyAlignment="1">
      <alignment horizontal="center" vertical="center"/>
    </xf>
    <xf numFmtId="10" fontId="1" fillId="0" borderId="0" xfId="0" applyNumberFormat="1" applyFont="1" applyFill="1" applyAlignment="1">
      <alignment vertical="center"/>
    </xf>
    <xf numFmtId="0" fontId="1" fillId="0" borderId="0" xfId="0" applyFont="1" applyFill="1" applyAlignment="1">
      <alignment horizontal="left" vertical="center" wrapText="1"/>
    </xf>
    <xf numFmtId="0" fontId="56" fillId="4" borderId="0" xfId="0" applyFont="1" applyAlignment="1">
      <alignment horizontal="left" vertical="center" wrapText="1"/>
    </xf>
    <xf numFmtId="0" fontId="1" fillId="5" borderId="10" xfId="0" applyFont="1" applyFill="1" applyBorder="1">
      <alignment horizontal="left" vertical="center"/>
    </xf>
    <xf numFmtId="0" fontId="56" fillId="4" borderId="0" xfId="0" applyFont="1" applyAlignment="1">
      <alignment vertical="center" wrapText="1"/>
    </xf>
    <xf numFmtId="0" fontId="52" fillId="4" borderId="38" xfId="0" applyFont="1" applyBorder="1" applyAlignment="1">
      <alignment horizontal="center" vertical="center" wrapText="1"/>
    </xf>
    <xf numFmtId="0" fontId="52" fillId="12" borderId="38" xfId="0" applyFont="1" applyFill="1" applyBorder="1" applyAlignment="1">
      <alignment horizontal="center" vertical="center" wrapText="1"/>
    </xf>
    <xf numFmtId="0" fontId="52" fillId="11" borderId="38" xfId="0" applyFont="1" applyFill="1" applyBorder="1" applyAlignment="1">
      <alignment horizontal="center" vertical="center" wrapText="1"/>
    </xf>
    <xf numFmtId="0" fontId="1" fillId="4" borderId="0" xfId="0" applyFont="1" applyAlignment="1">
      <alignment horizontal="left" vertical="center" wrapText="1" indent="4"/>
    </xf>
    <xf numFmtId="0" fontId="1" fillId="0" borderId="0" xfId="0" applyFont="1" applyFill="1" applyAlignment="1" applyProtection="1">
      <alignment horizontal="center" vertical="center"/>
      <protection locked="0"/>
    </xf>
    <xf numFmtId="2" fontId="1" fillId="0" borderId="0" xfId="0" applyNumberFormat="1" applyFont="1" applyFill="1" applyAlignment="1" applyProtection="1">
      <alignment horizontal="center" vertical="center"/>
      <protection locked="0"/>
    </xf>
    <xf numFmtId="2" fontId="23" fillId="9" borderId="8" xfId="19" applyNumberFormat="1" applyFont="1" applyBorder="1">
      <alignment horizontal="center" vertical="center"/>
      <protection locked="0"/>
    </xf>
    <xf numFmtId="2" fontId="23" fillId="9" borderId="5" xfId="19" applyNumberFormat="1" applyFont="1">
      <alignment horizontal="center" vertical="center"/>
      <protection locked="0"/>
    </xf>
    <xf numFmtId="8" fontId="23" fillId="9" borderId="5" xfId="19" applyNumberFormat="1" applyFont="1">
      <alignment horizontal="center" vertical="center"/>
      <protection locked="0"/>
    </xf>
    <xf numFmtId="0" fontId="0" fillId="13" borderId="0" xfId="0" applyFill="1" applyAlignment="1">
      <alignment vertical="center"/>
    </xf>
    <xf numFmtId="0" fontId="0" fillId="4" borderId="0" xfId="0" applyAlignment="1">
      <alignment vertical="center"/>
    </xf>
    <xf numFmtId="0" fontId="0" fillId="13" borderId="0" xfId="0" applyFill="1" applyAlignment="1">
      <alignment horizontal="left" vertical="center" wrapText="1"/>
    </xf>
    <xf numFmtId="0" fontId="0" fillId="0" borderId="0" xfId="0" applyFill="1" applyAlignment="1">
      <alignment horizontal="left" vertical="center" wrapText="1"/>
    </xf>
    <xf numFmtId="3" fontId="30" fillId="13" borderId="0" xfId="7" applyNumberFormat="1" applyFont="1" applyFill="1" applyBorder="1" applyAlignment="1">
      <alignment horizontal="left" vertical="center" wrapText="1"/>
      <protection hidden="1"/>
    </xf>
    <xf numFmtId="4" fontId="25" fillId="4" borderId="0" xfId="7" applyFont="1" applyFill="1" applyBorder="1" applyAlignment="1">
      <alignment horizontal="left" vertical="center" wrapText="1"/>
      <protection hidden="1"/>
    </xf>
    <xf numFmtId="4" fontId="25" fillId="0" borderId="0" xfId="7" applyFont="1" applyBorder="1" applyAlignment="1">
      <alignment horizontal="left" vertical="center" wrapText="1"/>
      <protection hidden="1"/>
    </xf>
    <xf numFmtId="0" fontId="4" fillId="0" borderId="0" xfId="0" applyFont="1" applyFill="1" applyAlignment="1">
      <alignment horizontal="left" wrapText="1"/>
    </xf>
    <xf numFmtId="0" fontId="59" fillId="4" borderId="0" xfId="0" applyFont="1" applyAlignment="1">
      <alignment vertical="center"/>
    </xf>
    <xf numFmtId="0" fontId="22" fillId="8" borderId="10" xfId="18" applyFont="1" applyBorder="1" applyAlignment="1">
      <alignment horizontal="left" vertical="center"/>
    </xf>
    <xf numFmtId="0" fontId="0" fillId="4" borderId="0" xfId="0" applyAlignment="1">
      <alignment horizontal="center" vertical="center"/>
    </xf>
    <xf numFmtId="49" fontId="17" fillId="10" borderId="22" xfId="12" applyNumberFormat="1" applyFont="1" applyFill="1" applyBorder="1" applyAlignment="1" applyProtection="1">
      <alignment horizontal="center" vertical="center" wrapText="1"/>
      <protection locked="0"/>
    </xf>
    <xf numFmtId="49" fontId="17" fillId="10" borderId="19" xfId="12" applyNumberFormat="1" applyFont="1" applyFill="1" applyBorder="1" applyAlignment="1" applyProtection="1">
      <alignment horizontal="center" vertical="center" wrapText="1"/>
      <protection locked="0"/>
    </xf>
    <xf numFmtId="49" fontId="23" fillId="10" borderId="19" xfId="6" applyFont="1" applyBorder="1" applyAlignment="1">
      <alignment horizontal="center" vertical="center" wrapText="1"/>
      <protection locked="0"/>
    </xf>
    <xf numFmtId="0" fontId="1" fillId="4" borderId="19" xfId="18" applyFont="1" applyFill="1" applyBorder="1" applyAlignment="1">
      <alignment horizontal="center" vertical="center" wrapText="1"/>
    </xf>
    <xf numFmtId="49" fontId="23" fillId="10" borderId="22" xfId="6" applyFont="1" applyBorder="1" applyAlignment="1">
      <alignment horizontal="center" vertical="center" wrapText="1"/>
      <protection locked="0"/>
    </xf>
    <xf numFmtId="0" fontId="1" fillId="4" borderId="22" xfId="18" applyFont="1" applyFill="1" applyBorder="1" applyAlignment="1">
      <alignment horizontal="center" vertical="center" wrapText="1"/>
    </xf>
    <xf numFmtId="0" fontId="1" fillId="13" borderId="0" xfId="0" applyFont="1" applyFill="1" applyAlignment="1">
      <alignment horizontal="left" vertical="center" wrapText="1"/>
    </xf>
    <xf numFmtId="0" fontId="5" fillId="0" borderId="0" xfId="0" applyFont="1" applyFill="1" applyAlignment="1">
      <alignment horizontal="left" vertical="center" wrapText="1"/>
    </xf>
    <xf numFmtId="0" fontId="1" fillId="4" borderId="0" xfId="0" applyFont="1" applyAlignment="1">
      <alignment horizontal="left" vertical="center" wrapText="1" indent="5"/>
    </xf>
    <xf numFmtId="0" fontId="1" fillId="4" borderId="0" xfId="0" applyFont="1" applyAlignment="1">
      <alignment horizontal="left" vertical="center" indent="5"/>
    </xf>
    <xf numFmtId="0" fontId="23" fillId="4" borderId="0" xfId="0" applyFont="1" applyAlignment="1">
      <alignment horizontal="left" vertical="center" indent="7"/>
    </xf>
    <xf numFmtId="0" fontId="58" fillId="4" borderId="0" xfId="0" applyFont="1" applyAlignment="1">
      <alignment horizontal="left" vertical="top" wrapText="1" indent="7"/>
    </xf>
    <xf numFmtId="0" fontId="24" fillId="4" borderId="0" xfId="0" applyFont="1">
      <alignment horizontal="left" vertical="center"/>
    </xf>
    <xf numFmtId="0" fontId="22" fillId="17" borderId="12" xfId="18" applyFont="1" applyFill="1" applyBorder="1">
      <alignment horizontal="center" vertical="center"/>
    </xf>
    <xf numFmtId="44" fontId="26" fillId="10" borderId="30" xfId="12" applyFont="1" applyFill="1" applyBorder="1" applyAlignment="1">
      <alignment horizontal="center" vertical="center" wrapText="1"/>
    </xf>
    <xf numFmtId="44" fontId="26" fillId="10" borderId="31" xfId="12" applyFont="1" applyFill="1" applyBorder="1" applyAlignment="1">
      <alignment horizontal="center" vertical="center" wrapText="1"/>
    </xf>
    <xf numFmtId="44" fontId="26" fillId="10" borderId="19" xfId="12" applyFont="1" applyFill="1" applyBorder="1" applyAlignment="1">
      <alignment horizontal="center" vertical="center" wrapText="1"/>
    </xf>
    <xf numFmtId="0" fontId="61" fillId="15" borderId="12" xfId="18" applyFont="1" applyFill="1" applyBorder="1" applyAlignment="1">
      <alignment horizontal="centerContinuous" vertical="center"/>
    </xf>
    <xf numFmtId="0" fontId="22" fillId="4" borderId="0" xfId="0" applyFont="1" applyAlignment="1">
      <alignment vertical="center" wrapText="1"/>
    </xf>
    <xf numFmtId="0" fontId="22" fillId="4" borderId="0" xfId="0" applyFont="1">
      <alignment horizontal="left" vertical="center"/>
    </xf>
    <xf numFmtId="49" fontId="23" fillId="10" borderId="10" xfId="6" applyFont="1" applyBorder="1" applyAlignment="1">
      <alignment horizontal="center" vertical="center" wrapText="1"/>
      <protection locked="0"/>
    </xf>
    <xf numFmtId="0" fontId="28" fillId="5" borderId="10" xfId="8" applyFont="1" applyBorder="1" applyAlignment="1">
      <alignment horizontal="left" vertical="center" wrapText="1"/>
    </xf>
    <xf numFmtId="0" fontId="22" fillId="8" borderId="10" xfId="18" applyFont="1" applyBorder="1" applyAlignment="1">
      <alignment horizontal="left" vertical="center" wrapText="1"/>
    </xf>
    <xf numFmtId="44" fontId="26" fillId="9" borderId="10" xfId="19" applyFont="1" applyBorder="1" applyAlignment="1">
      <alignment horizontal="center" vertical="center" wrapText="1"/>
      <protection locked="0"/>
    </xf>
    <xf numFmtId="49" fontId="23" fillId="10" borderId="3" xfId="6" applyFont="1" applyBorder="1" applyAlignment="1">
      <alignment horizontal="center" vertical="center" wrapText="1"/>
      <protection locked="0"/>
    </xf>
    <xf numFmtId="0" fontId="3" fillId="0" borderId="0" xfId="0" applyFont="1" applyFill="1" applyAlignment="1">
      <alignment horizontal="left" vertical="center" wrapText="1"/>
    </xf>
    <xf numFmtId="0" fontId="56" fillId="4" borderId="0" xfId="0" applyFont="1" applyAlignment="1">
      <alignment horizontal="left" vertical="top" wrapText="1"/>
    </xf>
    <xf numFmtId="0" fontId="56" fillId="4" borderId="0" xfId="0" applyFont="1" applyAlignment="1">
      <alignment horizontal="left" vertical="center" wrapText="1" indent="4"/>
    </xf>
    <xf numFmtId="0" fontId="26" fillId="8" borderId="0" xfId="17" applyFont="1" applyAlignment="1">
      <alignment horizontal="right" vertical="center"/>
    </xf>
    <xf numFmtId="0" fontId="26" fillId="8" borderId="0" xfId="18" applyFont="1" applyAlignment="1">
      <alignment horizontal="right" vertical="center"/>
    </xf>
    <xf numFmtId="0" fontId="26" fillId="8" borderId="0" xfId="18" applyFont="1" applyAlignment="1">
      <alignment horizontal="right" vertical="center" wrapText="1"/>
    </xf>
    <xf numFmtId="3" fontId="26" fillId="8" borderId="0" xfId="18" applyNumberFormat="1" applyFont="1" applyAlignment="1">
      <alignment horizontal="left" vertical="center" wrapText="1"/>
    </xf>
    <xf numFmtId="0" fontId="1" fillId="4" borderId="0" xfId="0" applyFont="1" applyAlignment="1">
      <alignment horizontal="left" vertical="center" wrapText="1"/>
    </xf>
    <xf numFmtId="0" fontId="1" fillId="4" borderId="17" xfId="0" applyFont="1" applyBorder="1" applyAlignment="1">
      <alignment horizontal="left" vertical="top" wrapText="1"/>
    </xf>
    <xf numFmtId="44" fontId="23" fillId="0" borderId="0" xfId="12" applyFont="1">
      <alignment horizontal="center" vertical="center"/>
    </xf>
    <xf numFmtId="44" fontId="23" fillId="10" borderId="0" xfId="12" applyFont="1" applyFill="1">
      <alignment horizontal="center" vertical="center"/>
    </xf>
    <xf numFmtId="0" fontId="58" fillId="4" borderId="0" xfId="0" applyFont="1" applyAlignment="1">
      <alignment horizontal="left" vertical="top" wrapText="1"/>
    </xf>
    <xf numFmtId="0" fontId="23" fillId="4" borderId="0" xfId="0" applyFont="1" applyAlignment="1">
      <alignment horizontal="left" vertical="top" wrapText="1"/>
    </xf>
    <xf numFmtId="49" fontId="40" fillId="5" borderId="0" xfId="5" applyFont="1" applyAlignment="1">
      <alignment vertical="center"/>
    </xf>
    <xf numFmtId="49" fontId="23" fillId="5" borderId="0" xfId="5" applyFont="1" applyAlignment="1">
      <alignment vertical="center"/>
    </xf>
    <xf numFmtId="49" fontId="23" fillId="4" borderId="0" xfId="5" applyFont="1" applyFill="1" applyAlignment="1">
      <alignment vertical="center" wrapText="1"/>
    </xf>
    <xf numFmtId="0" fontId="26" fillId="4" borderId="0" xfId="0" applyFont="1" applyAlignment="1">
      <alignment horizontal="left" vertical="top" wrapText="1"/>
    </xf>
    <xf numFmtId="0" fontId="58" fillId="4" borderId="0" xfId="0" applyFont="1" applyAlignment="1">
      <alignment vertical="top" wrapText="1"/>
    </xf>
    <xf numFmtId="0" fontId="59" fillId="4" borderId="0" xfId="0" applyFont="1" applyAlignment="1">
      <alignment horizontal="left" vertical="center" wrapText="1"/>
    </xf>
    <xf numFmtId="0" fontId="26" fillId="4" borderId="0" xfId="0" applyFont="1" applyAlignment="1">
      <alignment horizontal="left" vertical="center" wrapText="1"/>
    </xf>
    <xf numFmtId="0" fontId="1" fillId="4" borderId="0" xfId="0" applyFont="1">
      <alignment horizontal="left" vertical="center"/>
    </xf>
    <xf numFmtId="0" fontId="22" fillId="8" borderId="0" xfId="18" applyFont="1" applyAlignment="1">
      <alignment horizontal="center" vertical="top" wrapText="1"/>
    </xf>
    <xf numFmtId="0" fontId="22" fillId="8" borderId="0" xfId="18" applyFont="1" applyAlignment="1">
      <alignment horizontal="center" vertical="center" wrapText="1"/>
    </xf>
    <xf numFmtId="44" fontId="23" fillId="9" borderId="0" xfId="19" applyFont="1" applyBorder="1">
      <alignment horizontal="center" vertical="center"/>
      <protection locked="0"/>
    </xf>
    <xf numFmtId="44" fontId="23" fillId="3" borderId="0" xfId="13" applyFont="1">
      <alignment horizontal="center" vertical="center"/>
    </xf>
    <xf numFmtId="0" fontId="58" fillId="4" borderId="0" xfId="0" applyFont="1" applyAlignment="1">
      <alignment horizontal="left" vertical="center" wrapText="1"/>
    </xf>
    <xf numFmtId="0" fontId="28" fillId="5" borderId="2" xfId="8" applyFont="1" applyBorder="1" applyAlignment="1">
      <alignment horizontal="center" vertical="center"/>
    </xf>
    <xf numFmtId="0" fontId="28" fillId="5" borderId="1" xfId="8" applyFont="1" applyBorder="1" applyAlignment="1">
      <alignment horizontal="center" vertical="center"/>
    </xf>
    <xf numFmtId="0" fontId="23" fillId="4" borderId="0" xfId="0" applyFont="1" applyAlignment="1">
      <alignment horizontal="left" vertical="center" wrapText="1"/>
    </xf>
    <xf numFmtId="0" fontId="1" fillId="4" borderId="0" xfId="0" applyFont="1" applyAlignment="1">
      <alignment horizontal="left" vertical="top" wrapText="1"/>
    </xf>
    <xf numFmtId="49" fontId="23" fillId="4" borderId="0" xfId="5" applyFont="1" applyFill="1" applyAlignment="1">
      <alignment horizontal="left" vertical="top" wrapText="1"/>
    </xf>
    <xf numFmtId="0" fontId="1" fillId="4" borderId="0" xfId="0" applyFont="1" applyAlignment="1">
      <alignment vertical="top" wrapText="1"/>
    </xf>
    <xf numFmtId="4" fontId="25" fillId="0" borderId="14" xfId="7" applyFont="1" applyBorder="1">
      <alignment horizontal="center" vertical="center"/>
      <protection hidden="1"/>
    </xf>
    <xf numFmtId="4" fontId="25" fillId="0" borderId="15" xfId="7" applyFont="1" applyBorder="1">
      <alignment horizontal="center" vertical="center"/>
      <protection hidden="1"/>
    </xf>
    <xf numFmtId="4" fontId="25" fillId="0" borderId="25" xfId="7" applyFont="1" applyBorder="1">
      <alignment horizontal="center" vertical="center"/>
      <protection hidden="1"/>
    </xf>
    <xf numFmtId="44" fontId="17" fillId="10" borderId="19" xfId="12" applyFont="1" applyFill="1" applyBorder="1">
      <alignment horizontal="center" vertical="center"/>
    </xf>
    <xf numFmtId="1" fontId="23" fillId="0" borderId="19" xfId="12" applyNumberFormat="1" applyFont="1" applyBorder="1">
      <alignment horizontal="center" vertical="center"/>
    </xf>
    <xf numFmtId="0" fontId="52" fillId="3" borderId="40" xfId="0" applyFont="1" applyFill="1" applyBorder="1" applyAlignment="1">
      <alignment horizontal="center" vertical="center" wrapText="1"/>
    </xf>
    <xf numFmtId="0" fontId="52" fillId="3" borderId="41" xfId="0" applyFont="1" applyFill="1" applyBorder="1" applyAlignment="1">
      <alignment horizontal="center" vertical="center" wrapText="1"/>
    </xf>
    <xf numFmtId="0" fontId="52" fillId="3" borderId="37" xfId="0" applyFont="1" applyFill="1" applyBorder="1" applyAlignment="1">
      <alignment horizontal="center" vertical="center" wrapText="1"/>
    </xf>
    <xf numFmtId="0" fontId="1" fillId="4" borderId="0" xfId="0" applyFont="1" applyAlignment="1">
      <alignment horizontal="left" vertical="top"/>
    </xf>
    <xf numFmtId="0" fontId="27" fillId="4" borderId="0" xfId="0" applyFont="1" applyAlignment="1">
      <alignment horizontal="left" vertical="center" wrapText="1"/>
    </xf>
  </cellXfs>
  <cellStyles count="22">
    <cellStyle name="Crop" xfId="6" xr:uid="{00000000-0005-0000-0000-000000000000}"/>
    <cellStyle name="Currency" xfId="2" builtinId="4" customBuiltin="1"/>
    <cellStyle name="Explanatory Text" xfId="4" builtinId="53" customBuiltin="1"/>
    <cellStyle name="Fixed value" xfId="12" xr:uid="{00000000-0005-0000-0000-000003000000}"/>
    <cellStyle name="FV %" xfId="16" xr:uid="{00000000-0005-0000-0000-000004000000}"/>
    <cellStyle name="Hidden value" xfId="7" xr:uid="{00000000-0005-0000-0000-000005000000}"/>
    <cellStyle name="Hyperlink" xfId="1" builtinId="8" customBuiltin="1"/>
    <cellStyle name="Input value" xfId="19" xr:uid="{00000000-0005-0000-0000-000007000000}"/>
    <cellStyle name="IV #" xfId="21" xr:uid="{00000000-0005-0000-0000-000008000000}"/>
    <cellStyle name="IV %" xfId="20" xr:uid="{00000000-0005-0000-0000-000009000000}"/>
    <cellStyle name="Linked value" xfId="13" xr:uid="{00000000-0005-0000-0000-00000A000000}"/>
    <cellStyle name="LV #" xfId="14" xr:uid="{00000000-0005-0000-0000-00000B000000}"/>
    <cellStyle name="LV %" xfId="15" xr:uid="{00000000-0005-0000-0000-00000C000000}"/>
    <cellStyle name="Normal" xfId="0" builtinId="0" customBuiltin="1"/>
    <cellStyle name="Percent" xfId="3" builtinId="5"/>
    <cellStyle name="Sub-Titles" xfId="8" xr:uid="{00000000-0005-0000-0000-00000F000000}"/>
    <cellStyle name="Sub-total 1" xfId="9" xr:uid="{00000000-0005-0000-0000-000010000000}"/>
    <cellStyle name="Sub-total 2" xfId="10" xr:uid="{00000000-0005-0000-0000-000011000000}"/>
    <cellStyle name="T Header - Center" xfId="18" xr:uid="{00000000-0005-0000-0000-000012000000}"/>
    <cellStyle name="Table Header" xfId="17" xr:uid="{00000000-0005-0000-0000-000013000000}"/>
    <cellStyle name="Titles" xfId="5" xr:uid="{00000000-0005-0000-0000-000014000000}"/>
    <cellStyle name="Total_" xfId="11" xr:uid="{00000000-0005-0000-0000-000015000000}"/>
  </cellStyles>
  <dxfs count="76">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
      <fill>
        <patternFill patternType="lightTrellis">
          <bgColor theme="0" tint="-4.9989318521683403E-2"/>
        </patternFill>
      </fill>
    </dxf>
  </dxfs>
  <tableStyles count="0" defaultTableStyle="TableStyleMedium2" defaultPivotStyle="PivotStyleLight16"/>
  <colors>
    <mruColors>
      <color rgb="FF008000"/>
      <color rgb="FF146C54"/>
      <color rgb="FF263C18"/>
      <color rgb="FF339933"/>
      <color rgb="FFEDCFFD"/>
      <color rgb="FFFFCCFF"/>
      <color rgb="FFF88E1E"/>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NPV over 12 years of</a:t>
            </a:r>
            <a:r>
              <a:rPr lang="en-US" baseline="0"/>
              <a:t> </a:t>
            </a:r>
            <a:r>
              <a:rPr lang="en-CA"/>
              <a:t>different crop combinations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'Combinaisons de cultures'!$E$31</c:f>
              <c:strCache>
                <c:ptCount val="1"/>
                <c:pt idx="0">
                  <c:v>NPV over 12 years</c:v>
                </c:pt>
              </c:strCache>
            </c:strRef>
          </c:tx>
          <c:spPr>
            <a:solidFill>
              <a:schemeClr val="accent1"/>
            </a:solidFill>
            <a:ln>
              <a:noFill/>
            </a:ln>
            <a:effectLst/>
          </c:spPr>
          <c:invertIfNegative val="0"/>
          <c:cat>
            <c:multiLvlStrRef>
              <c:f>'Combinaisons de cultures'!$B$32:$B$46</c:f>
            </c:multiLvlStrRef>
          </c:cat>
          <c:val>
            <c:numRef>
              <c:f>'Combinaisons de cultures'!$E$32:$E$46</c:f>
            </c:numRef>
          </c:val>
          <c:extLst>
            <c:ext xmlns:c16="http://schemas.microsoft.com/office/drawing/2014/chart" uri="{C3380CC4-5D6E-409C-BE32-E72D297353CC}">
              <c16:uniqueId val="{00000000-A4D4-4F93-B3C6-E31EAED00B39}"/>
            </c:ext>
          </c:extLst>
        </c:ser>
        <c:dLbls>
          <c:showLegendKey val="0"/>
          <c:showVal val="0"/>
          <c:showCatName val="0"/>
          <c:showSerName val="0"/>
          <c:showPercent val="0"/>
          <c:showBubbleSize val="0"/>
        </c:dLbls>
        <c:gapWidth val="182"/>
        <c:axId val="1060113440"/>
        <c:axId val="1060116064"/>
      </c:barChart>
      <c:catAx>
        <c:axId val="1060113440"/>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Crop c</a:t>
                </a:r>
                <a:r>
                  <a:rPr lang="en-CA"/>
                  <a:t>ombinations</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116064"/>
        <c:crosses val="autoZero"/>
        <c:auto val="1"/>
        <c:lblAlgn val="ctr"/>
        <c:lblOffset val="100"/>
        <c:noMultiLvlLbl val="0"/>
      </c:catAx>
      <c:valAx>
        <c:axId val="10601160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NPV</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113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NPV over 12 years of</a:t>
            </a:r>
            <a:r>
              <a:rPr lang="en-US" baseline="0"/>
              <a:t> </a:t>
            </a:r>
            <a:r>
              <a:rPr lang="en-CA"/>
              <a:t>different crop combinations </a:t>
            </a:r>
            <a:endParaRPr lang="en-US"/>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6012576741161"/>
          <c:y val="8.5843541972266332E-2"/>
          <c:w val="0.66648634583327682"/>
          <c:h val="0.78274723224477138"/>
        </c:manualLayout>
      </c:layout>
      <c:barChart>
        <c:barDir val="bar"/>
        <c:grouping val="clustered"/>
        <c:varyColors val="0"/>
        <c:ser>
          <c:idx val="0"/>
          <c:order val="0"/>
          <c:spPr>
            <a:solidFill>
              <a:srgbClr val="008000"/>
            </a:solidFill>
            <a:ln>
              <a:noFill/>
            </a:ln>
            <a:effectLst/>
          </c:spPr>
          <c:invertIfNegative val="0"/>
          <c:dPt>
            <c:idx val="0"/>
            <c:invertIfNegative val="0"/>
            <c:bubble3D val="0"/>
            <c:spPr>
              <a:solidFill>
                <a:schemeClr val="accent2">
                  <a:lumMod val="20000"/>
                  <a:lumOff val="80000"/>
                </a:schemeClr>
              </a:solidFill>
              <a:ln>
                <a:solidFill>
                  <a:schemeClr val="accent2">
                    <a:lumMod val="20000"/>
                    <a:lumOff val="80000"/>
                  </a:schemeClr>
                </a:solidFill>
              </a:ln>
              <a:effectLst/>
            </c:spPr>
            <c:extLst>
              <c:ext xmlns:c16="http://schemas.microsoft.com/office/drawing/2014/chart" uri="{C3380CC4-5D6E-409C-BE32-E72D297353CC}">
                <c16:uniqueId val="{0000000E-CECF-4640-86DF-20BE1953656D}"/>
              </c:ext>
            </c:extLst>
          </c:dPt>
          <c:dPt>
            <c:idx val="1"/>
            <c:invertIfNegative val="0"/>
            <c:bubble3D val="0"/>
            <c:spPr>
              <a:solidFill>
                <a:schemeClr val="accent2">
                  <a:lumMod val="20000"/>
                  <a:lumOff val="80000"/>
                </a:schemeClr>
              </a:solidFill>
              <a:ln>
                <a:solidFill>
                  <a:schemeClr val="accent2">
                    <a:lumMod val="20000"/>
                    <a:lumOff val="80000"/>
                  </a:schemeClr>
                </a:solidFill>
              </a:ln>
              <a:effectLst/>
            </c:spPr>
            <c:extLst>
              <c:ext xmlns:c16="http://schemas.microsoft.com/office/drawing/2014/chart" uri="{C3380CC4-5D6E-409C-BE32-E72D297353CC}">
                <c16:uniqueId val="{0000000D-CECF-4640-86DF-20BE1953656D}"/>
              </c:ext>
            </c:extLst>
          </c:dPt>
          <c:dPt>
            <c:idx val="2"/>
            <c:invertIfNegative val="0"/>
            <c:bubble3D val="0"/>
            <c:spPr>
              <a:solidFill>
                <a:schemeClr val="accent2">
                  <a:lumMod val="20000"/>
                  <a:lumOff val="80000"/>
                </a:schemeClr>
              </a:solidFill>
              <a:ln>
                <a:solidFill>
                  <a:schemeClr val="accent2">
                    <a:lumMod val="20000"/>
                    <a:lumOff val="80000"/>
                  </a:schemeClr>
                </a:solidFill>
              </a:ln>
              <a:effectLst/>
            </c:spPr>
            <c:extLst>
              <c:ext xmlns:c16="http://schemas.microsoft.com/office/drawing/2014/chart" uri="{C3380CC4-5D6E-409C-BE32-E72D297353CC}">
                <c16:uniqueId val="{0000000C-CECF-4640-86DF-20BE1953656D}"/>
              </c:ext>
            </c:extLst>
          </c:dPt>
          <c:dPt>
            <c:idx val="3"/>
            <c:invertIfNegative val="0"/>
            <c:bubble3D val="0"/>
            <c:spPr>
              <a:solidFill>
                <a:schemeClr val="accent2">
                  <a:lumMod val="20000"/>
                  <a:lumOff val="80000"/>
                </a:schemeClr>
              </a:solidFill>
              <a:ln>
                <a:solidFill>
                  <a:schemeClr val="accent2">
                    <a:lumMod val="20000"/>
                    <a:lumOff val="80000"/>
                  </a:schemeClr>
                </a:solidFill>
              </a:ln>
              <a:effectLst/>
            </c:spPr>
            <c:extLst>
              <c:ext xmlns:c16="http://schemas.microsoft.com/office/drawing/2014/chart" uri="{C3380CC4-5D6E-409C-BE32-E72D297353CC}">
                <c16:uniqueId val="{0000000B-CECF-4640-86DF-20BE1953656D}"/>
              </c:ext>
            </c:extLst>
          </c:dPt>
          <c:dPt>
            <c:idx val="4"/>
            <c:invertIfNegative val="0"/>
            <c:bubble3D val="0"/>
            <c:spPr>
              <a:solidFill>
                <a:schemeClr val="accent2">
                  <a:lumMod val="20000"/>
                  <a:lumOff val="80000"/>
                </a:schemeClr>
              </a:solidFill>
              <a:ln>
                <a:solidFill>
                  <a:schemeClr val="accent2">
                    <a:lumMod val="20000"/>
                    <a:lumOff val="80000"/>
                  </a:schemeClr>
                </a:solidFill>
              </a:ln>
              <a:effectLst/>
            </c:spPr>
            <c:extLst>
              <c:ext xmlns:c16="http://schemas.microsoft.com/office/drawing/2014/chart" uri="{C3380CC4-5D6E-409C-BE32-E72D297353CC}">
                <c16:uniqueId val="{0000000A-CECF-4640-86DF-20BE1953656D}"/>
              </c:ext>
            </c:extLst>
          </c:dPt>
          <c:dPt>
            <c:idx val="5"/>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9-CECF-4640-86DF-20BE1953656D}"/>
              </c:ext>
            </c:extLst>
          </c:dPt>
          <c:dPt>
            <c:idx val="6"/>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8-CECF-4640-86DF-20BE1953656D}"/>
              </c:ext>
            </c:extLst>
          </c:dPt>
          <c:dPt>
            <c:idx val="7"/>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7-CECF-4640-86DF-20BE1953656D}"/>
              </c:ext>
            </c:extLst>
          </c:dPt>
          <c:dPt>
            <c:idx val="8"/>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6-CECF-4640-86DF-20BE1953656D}"/>
              </c:ext>
            </c:extLst>
          </c:dPt>
          <c:dPt>
            <c:idx val="9"/>
            <c:invertIfNegative val="0"/>
            <c:bubble3D val="0"/>
            <c:spPr>
              <a:solidFill>
                <a:schemeClr val="accent1">
                  <a:lumMod val="60000"/>
                  <a:lumOff val="40000"/>
                </a:schemeClr>
              </a:solidFill>
              <a:ln>
                <a:solidFill>
                  <a:schemeClr val="accent1">
                    <a:lumMod val="60000"/>
                    <a:lumOff val="40000"/>
                  </a:schemeClr>
                </a:solidFill>
              </a:ln>
              <a:effectLst/>
            </c:spPr>
            <c:extLst>
              <c:ext xmlns:c16="http://schemas.microsoft.com/office/drawing/2014/chart" uri="{C3380CC4-5D6E-409C-BE32-E72D297353CC}">
                <c16:uniqueId val="{00000005-CECF-4640-86DF-20BE1953656D}"/>
              </c:ext>
            </c:extLst>
          </c:dPt>
          <c:dPt>
            <c:idx val="10"/>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4-CECF-4640-86DF-20BE1953656D}"/>
              </c:ext>
            </c:extLst>
          </c:dPt>
          <c:dPt>
            <c:idx val="11"/>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3-CECF-4640-86DF-20BE1953656D}"/>
              </c:ext>
            </c:extLst>
          </c:dPt>
          <c:dPt>
            <c:idx val="12"/>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2-CECF-4640-86DF-20BE1953656D}"/>
              </c:ext>
            </c:extLst>
          </c:dPt>
          <c:dPt>
            <c:idx val="13"/>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1-CECF-4640-86DF-20BE1953656D}"/>
              </c:ext>
            </c:extLst>
          </c:dPt>
          <c:dPt>
            <c:idx val="14"/>
            <c:invertIfNegative val="0"/>
            <c:bubble3D val="0"/>
            <c:spPr>
              <a:solidFill>
                <a:schemeClr val="accent6">
                  <a:lumMod val="60000"/>
                  <a:lumOff val="40000"/>
                </a:schemeClr>
              </a:solidFill>
              <a:ln>
                <a:solidFill>
                  <a:schemeClr val="accent6">
                    <a:lumMod val="60000"/>
                    <a:lumOff val="40000"/>
                  </a:schemeClr>
                </a:solidFill>
              </a:ln>
              <a:effectLst/>
            </c:spPr>
            <c:extLst>
              <c:ext xmlns:c16="http://schemas.microsoft.com/office/drawing/2014/chart" uri="{C3380CC4-5D6E-409C-BE32-E72D297353CC}">
                <c16:uniqueId val="{00000000-CECF-4640-86DF-20BE1953656D}"/>
              </c:ext>
            </c:extLst>
          </c:dPt>
          <c:cat>
            <c:strRef>
              <c:f>'Combinaisons de cultures'!$B$32:$B$46</c:f>
              <c:strCache>
                <c:ptCount val="15"/>
                <c:pt idx="0">
                  <c:v>Pommes de terre-Maïs</c:v>
                </c:pt>
                <c:pt idx="1">
                  <c:v>Pommes de terre-Moutarde (brune)</c:v>
                </c:pt>
                <c:pt idx="2">
                  <c:v>Pommes de terre-Moutarde (brune)</c:v>
                </c:pt>
                <c:pt idx="3">
                  <c:v>Pommes de terre-Blé (printemps)</c:v>
                </c:pt>
                <c:pt idx="4">
                  <c:v>Pommes de terre-Soja</c:v>
                </c:pt>
                <c:pt idx="5">
                  <c:v>Pommes de terre-Orge-Culture fourragère (An 1)</c:v>
                </c:pt>
                <c:pt idx="6">
                  <c:v>Maïs-Blé (hiver)-Orge</c:v>
                </c:pt>
                <c:pt idx="7">
                  <c:v>Pommes de terre-Maïs-Culture fourragère (An 1)</c:v>
                </c:pt>
                <c:pt idx="8">
                  <c:v>Pommes de terre-Blé (printemps)-Moutarde (brune)</c:v>
                </c:pt>
                <c:pt idx="9">
                  <c:v>Pommes de terre-Sarrasin-Maïs</c:v>
                </c:pt>
                <c:pt idx="10">
                  <c:v>Pommes de terre-Maïs-Blé (hiver)-Culture fourragère (An 1)</c:v>
                </c:pt>
                <c:pt idx="11">
                  <c:v>Pommes de terre-Blé (printemps)-Maïs-Blé (hiver)</c:v>
                </c:pt>
                <c:pt idx="12">
                  <c:v>Pommes de terre-Avoine-Culture fourragère (An 1)-Sarrasin</c:v>
                </c:pt>
                <c:pt idx="13">
                  <c:v>Pommes de terre-Blé (printemps)-Moutarde (brune)-Culture fourragère (An 1)</c:v>
                </c:pt>
                <c:pt idx="14">
                  <c:v>Pommes de terre-Soja-Avoine-Culture fourragère (An 1)</c:v>
                </c:pt>
              </c:strCache>
            </c:strRef>
          </c:cat>
          <c:val>
            <c:numRef>
              <c:f>'Combinaisons de cultures'!$E$32:$E$46</c:f>
              <c:numCache>
                <c:formatCode>"$"#,##0.00</c:formatCode>
                <c:ptCount val="15"/>
                <c:pt idx="0">
                  <c:v>8251.0753221889918</c:v>
                </c:pt>
                <c:pt idx="1">
                  <c:v>7551.1991629516297</c:v>
                </c:pt>
                <c:pt idx="2">
                  <c:v>7551.1991629516297</c:v>
                </c:pt>
                <c:pt idx="3">
                  <c:v>7295.4413048169718</c:v>
                </c:pt>
                <c:pt idx="4">
                  <c:v>8477.0273857170541</c:v>
                </c:pt>
                <c:pt idx="5">
                  <c:v>4237.5586803581091</c:v>
                </c:pt>
                <c:pt idx="6">
                  <c:v>2428.192424397444</c:v>
                </c:pt>
                <c:pt idx="7">
                  <c:v>4522.9109923341703</c:v>
                </c:pt>
                <c:pt idx="8">
                  <c:v>5406.3377800434882</c:v>
                </c:pt>
                <c:pt idx="9">
                  <c:v>5038.6878834441977</c:v>
                </c:pt>
                <c:pt idx="10">
                  <c:v>4131.0548487029182</c:v>
                </c:pt>
                <c:pt idx="11">
                  <c:v>5090.0589822587381</c:v>
                </c:pt>
                <c:pt idx="12">
                  <c:v>2468.7873344267928</c:v>
                </c:pt>
                <c:pt idx="13">
                  <c:v>3339.1236953267417</c:v>
                </c:pt>
                <c:pt idx="14">
                  <c:v>3716.627502036813</c:v>
                </c:pt>
              </c:numCache>
            </c:numRef>
          </c:val>
          <c:extLst>
            <c:ext xmlns:c16="http://schemas.microsoft.com/office/drawing/2014/chart" uri="{C3380CC4-5D6E-409C-BE32-E72D297353CC}">
              <c16:uniqueId val="{00000000-9540-4674-B207-EFA3A1F831A5}"/>
            </c:ext>
          </c:extLst>
        </c:ser>
        <c:dLbls>
          <c:showLegendKey val="0"/>
          <c:showVal val="0"/>
          <c:showCatName val="0"/>
          <c:showSerName val="0"/>
          <c:showPercent val="0"/>
          <c:showBubbleSize val="0"/>
        </c:dLbls>
        <c:gapWidth val="182"/>
        <c:axId val="1060113440"/>
        <c:axId val="1060116064"/>
      </c:barChart>
      <c:catAx>
        <c:axId val="1060113440"/>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Crop c</a:t>
                </a:r>
                <a:r>
                  <a:rPr lang="en-CA"/>
                  <a:t>ombinations</a:t>
                </a:r>
                <a:endParaRPr lang="en-US"/>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116064"/>
        <c:crosses val="autoZero"/>
        <c:auto val="1"/>
        <c:lblAlgn val="ctr"/>
        <c:lblOffset val="100"/>
        <c:noMultiLvlLbl val="0"/>
      </c:catAx>
      <c:valAx>
        <c:axId val="10601160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NPV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0113440"/>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CA" sz="1200" i="0" u="sng">
                <a:effectLst/>
              </a:rPr>
              <a:t>Bénéfices annuels cumulés prévus (VAN) et nombre d’applications de pesticides</a:t>
            </a:r>
            <a:endParaRPr lang="en-US" sz="1200" i="0" u="sng">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pPr>
            <a:endParaRPr lang="en-US" sz="1200" u="sng"/>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95932277240049"/>
          <c:y val="0.10070291551393913"/>
          <c:w val="0.76850580436338733"/>
          <c:h val="0.69596105554373267"/>
        </c:manualLayout>
      </c:layout>
      <c:barChart>
        <c:barDir val="col"/>
        <c:grouping val="clustered"/>
        <c:varyColors val="0"/>
        <c:ser>
          <c:idx val="2"/>
          <c:order val="0"/>
          <c:tx>
            <c:v>2Y Earnings</c:v>
          </c:tx>
          <c:spPr>
            <a:solidFill>
              <a:schemeClr val="accent2">
                <a:lumMod val="20000"/>
                <a:lumOff val="80000"/>
              </a:schemeClr>
            </a:solidFill>
            <a:ln>
              <a:noFill/>
            </a:ln>
            <a:effectLst/>
          </c:spPr>
          <c:invertIfNegative val="0"/>
          <c:dLbls>
            <c:delete val="1"/>
          </c:dLbls>
          <c:val>
            <c:numRef>
              <c:f>Comparaison!$C$75:$N$75</c:f>
              <c:numCache>
                <c:formatCode>"$"#,##0.00_);[Red]\("$"#,##0.00\)</c:formatCode>
                <c:ptCount val="12"/>
                <c:pt idx="0">
                  <c:v>1440.3829906542062</c:v>
                </c:pt>
                <c:pt idx="1">
                  <c:v>1723.8190654205612</c:v>
                </c:pt>
                <c:pt idx="2">
                  <c:v>3032.7320390223044</c:v>
                </c:pt>
                <c:pt idx="3">
                  <c:v>3290.2976711184842</c:v>
                </c:pt>
                <c:pt idx="4">
                  <c:v>4479.740467638052</c:v>
                </c:pt>
                <c:pt idx="5">
                  <c:v>4713.7969648280823</c:v>
                </c:pt>
                <c:pt idx="6">
                  <c:v>5794.6741466771155</c:v>
                </c:pt>
                <c:pt idx="7">
                  <c:v>6007.3672899005469</c:v>
                </c:pt>
                <c:pt idx="8">
                  <c:v>6989.5881126761033</c:v>
                </c:pt>
                <c:pt idx="9">
                  <c:v>7182.8678281182019</c:v>
                </c:pt>
                <c:pt idx="10">
                  <c:v>8075.4370865824239</c:v>
                </c:pt>
                <c:pt idx="11">
                  <c:v>8251.0753221889918</c:v>
                </c:pt>
              </c:numCache>
            </c:numRef>
          </c:val>
          <c:extLst>
            <c:ext xmlns:c16="http://schemas.microsoft.com/office/drawing/2014/chart" uri="{C3380CC4-5D6E-409C-BE32-E72D297353CC}">
              <c16:uniqueId val="{00000000-AE9D-428D-AA2A-729A3F5B790E}"/>
            </c:ext>
          </c:extLst>
        </c:ser>
        <c:ser>
          <c:idx val="0"/>
          <c:order val="1"/>
          <c:tx>
            <c:v>3Y Earnings</c:v>
          </c:tx>
          <c:spPr>
            <a:solidFill>
              <a:schemeClr val="accent1">
                <a:lumMod val="20000"/>
                <a:lumOff val="80000"/>
              </a:schemeClr>
            </a:solidFill>
            <a:ln>
              <a:noFill/>
            </a:ln>
            <a:effectLst/>
          </c:spPr>
          <c:invertIfNegative val="0"/>
          <c:dLbls>
            <c:delete val="1"/>
          </c:dLbls>
          <c:val>
            <c:numRef>
              <c:f>Comparaison!$O$75:$Z$75</c:f>
              <c:numCache>
                <c:formatCode>#,##0.00_);[Red]\(#,##0.00\)</c:formatCode>
                <c:ptCount val="12"/>
                <c:pt idx="0" formatCode="&quot;$&quot;#,##0.00_);[Red]\(&quot;$&quot;#,##0.00\)">
                  <c:v>1440.3829906542062</c:v>
                </c:pt>
                <c:pt idx="1">
                  <c:v>1636.4678120359863</c:v>
                </c:pt>
                <c:pt idx="2" formatCode="&quot;$&quot;#,##0.00_);[Red]\(&quot;$&quot;#,##0.00\)">
                  <c:v>1297.1896371073326</c:v>
                </c:pt>
                <c:pt idx="3" formatCode="&quot;$&quot;#,##0.00_);[Red]\(&quot;$&quot;#,##0.00\)">
                  <c:v>2544.9384530641346</c:v>
                </c:pt>
                <c:pt idx="4" formatCode="&quot;$&quot;#,##0.00_);[Red]\(&quot;$&quot;#,##0.00\)">
                  <c:v>2714.7992507087201</c:v>
                </c:pt>
                <c:pt idx="5" formatCode="&quot;$&quot;#,##0.00_);[Red]\(&quot;$&quot;#,##0.00\)">
                  <c:v>2420.8955155258027</c:v>
                </c:pt>
                <c:pt idx="6" formatCode="&quot;$&quot;#,##0.00_);[Red]\(&quot;$&quot;#,##0.00\)">
                  <c:v>3501.7726973748363</c:v>
                </c:pt>
                <c:pt idx="7" formatCode="&quot;$&quot;#,##0.00_);[Red]\(&quot;$&quot;#,##0.00\)">
                  <c:v>3648.9166240344025</c:v>
                </c:pt>
                <c:pt idx="8" formatCode="&quot;$&quot;#,##0.00_);[Red]\(&quot;$&quot;#,##0.00\)">
                  <c:v>3394.3190343938809</c:v>
                </c:pt>
                <c:pt idx="9" formatCode="&quot;$&quot;#,##0.00_);[Red]\(&quot;$&quot;#,##0.00\)">
                  <c:v>4330.6416878808595</c:v>
                </c:pt>
                <c:pt idx="10" formatCode="&quot;$&quot;#,##0.00_);[Red]\(&quot;$&quot;#,##0.00\)">
                  <c:v>4458.1068561423372</c:v>
                </c:pt>
                <c:pt idx="11" formatCode="&quot;$&quot;#,##0.00_);[Red]\(&quot;$&quot;#,##0.00\)">
                  <c:v>4237.5586803581091</c:v>
                </c:pt>
              </c:numCache>
            </c:numRef>
          </c:val>
          <c:extLst>
            <c:ext xmlns:c16="http://schemas.microsoft.com/office/drawing/2014/chart" uri="{C3380CC4-5D6E-409C-BE32-E72D297353CC}">
              <c16:uniqueId val="{00000001-AE9D-428D-AA2A-729A3F5B790E}"/>
            </c:ext>
          </c:extLst>
        </c:ser>
        <c:ser>
          <c:idx val="1"/>
          <c:order val="2"/>
          <c:tx>
            <c:v>4Y Earnings</c:v>
          </c:tx>
          <c:spPr>
            <a:solidFill>
              <a:schemeClr val="accent6">
                <a:lumMod val="60000"/>
                <a:lumOff val="40000"/>
              </a:schemeClr>
            </a:solidFill>
            <a:ln>
              <a:noFill/>
            </a:ln>
            <a:effectLst/>
          </c:spPr>
          <c:invertIfNegative val="0"/>
          <c:dLbls>
            <c:delete val="1"/>
          </c:dLbls>
          <c:val>
            <c:numRef>
              <c:f>Comparaison!$AA$75:$AL$75</c:f>
              <c:numCache>
                <c:formatCode>"$"#,##0.00_);[Red]\("$"#,##0.00\)</c:formatCode>
                <c:ptCount val="12"/>
                <c:pt idx="0">
                  <c:v>1440.3829906542062</c:v>
                </c:pt>
                <c:pt idx="1">
                  <c:v>1723.8190654205612</c:v>
                </c:pt>
                <c:pt idx="2">
                  <c:v>1970.7729900093304</c:v>
                </c:pt>
                <c:pt idx="3">
                  <c:v>1647.3489354044457</c:v>
                </c:pt>
                <c:pt idx="4">
                  <c:v>2836.7917319240141</c:v>
                </c:pt>
                <c:pt idx="5">
                  <c:v>3070.8482291140435</c:v>
                </c:pt>
                <c:pt idx="6">
                  <c:v>3274.7784119752951</c:v>
                </c:pt>
                <c:pt idx="7">
                  <c:v>3007.7005483327871</c:v>
                </c:pt>
                <c:pt idx="8">
                  <c:v>3989.9213711083435</c:v>
                </c:pt>
                <c:pt idx="9">
                  <c:v>4183.2010865504417</c:v>
                </c:pt>
                <c:pt idx="10">
                  <c:v>4351.6030244871463</c:v>
                </c:pt>
                <c:pt idx="11">
                  <c:v>4131.0548487029182</c:v>
                </c:pt>
              </c:numCache>
            </c:numRef>
          </c:val>
          <c:extLst>
            <c:ext xmlns:c16="http://schemas.microsoft.com/office/drawing/2014/chart" uri="{C3380CC4-5D6E-409C-BE32-E72D297353CC}">
              <c16:uniqueId val="{00000002-AE9D-428D-AA2A-729A3F5B790E}"/>
            </c:ext>
          </c:extLst>
        </c:ser>
        <c:dLbls>
          <c:dLblPos val="outEnd"/>
          <c:showLegendKey val="0"/>
          <c:showVal val="1"/>
          <c:showCatName val="0"/>
          <c:showSerName val="0"/>
          <c:showPercent val="0"/>
          <c:showBubbleSize val="0"/>
        </c:dLbls>
        <c:gapWidth val="50"/>
        <c:axId val="951818152"/>
        <c:axId val="951819792"/>
      </c:barChart>
      <c:lineChart>
        <c:grouping val="standard"/>
        <c:varyColors val="0"/>
        <c:ser>
          <c:idx val="3"/>
          <c:order val="3"/>
          <c:tx>
            <c:v>2Y Pesticides</c:v>
          </c:tx>
          <c:spPr>
            <a:ln w="28575" cap="rnd">
              <a:solidFill>
                <a:schemeClr val="accent4"/>
              </a:solidFill>
              <a:round/>
            </a:ln>
            <a:effectLst/>
          </c:spPr>
          <c:marker>
            <c:symbol val="circle"/>
            <c:size val="5"/>
            <c:spPr>
              <a:solidFill>
                <a:schemeClr val="accent4"/>
              </a:solidFill>
              <a:ln w="63500">
                <a:solidFill>
                  <a:srgbClr val="F88E1E"/>
                </a:solidFill>
              </a:ln>
              <a:effectLst/>
            </c:spPr>
          </c:marker>
          <c:val>
            <c:numRef>
              <c:f>Comparaison!$C$82:$N$82</c:f>
              <c:numCache>
                <c:formatCode>0.00</c:formatCode>
                <c:ptCount val="12"/>
                <c:pt idx="0">
                  <c:v>15</c:v>
                </c:pt>
                <c:pt idx="1">
                  <c:v>16</c:v>
                </c:pt>
                <c:pt idx="2">
                  <c:v>31</c:v>
                </c:pt>
                <c:pt idx="3">
                  <c:v>32</c:v>
                </c:pt>
                <c:pt idx="4">
                  <c:v>47</c:v>
                </c:pt>
                <c:pt idx="5">
                  <c:v>48</c:v>
                </c:pt>
                <c:pt idx="6">
                  <c:v>63</c:v>
                </c:pt>
                <c:pt idx="7">
                  <c:v>64</c:v>
                </c:pt>
                <c:pt idx="8">
                  <c:v>79</c:v>
                </c:pt>
                <c:pt idx="9">
                  <c:v>80</c:v>
                </c:pt>
                <c:pt idx="10">
                  <c:v>95</c:v>
                </c:pt>
                <c:pt idx="11">
                  <c:v>96</c:v>
                </c:pt>
              </c:numCache>
            </c:numRef>
          </c:val>
          <c:smooth val="0"/>
          <c:extLst>
            <c:ext xmlns:c16="http://schemas.microsoft.com/office/drawing/2014/chart" uri="{C3380CC4-5D6E-409C-BE32-E72D297353CC}">
              <c16:uniqueId val="{00000003-AE9D-428D-AA2A-729A3F5B790E}"/>
            </c:ext>
          </c:extLst>
        </c:ser>
        <c:ser>
          <c:idx val="4"/>
          <c:order val="4"/>
          <c:tx>
            <c:v>3Y Pesticides</c:v>
          </c:tx>
          <c:spPr>
            <a:ln w="28575" cap="rnd">
              <a:solidFill>
                <a:schemeClr val="accent5"/>
              </a:solidFill>
              <a:round/>
            </a:ln>
            <a:effectLst/>
          </c:spPr>
          <c:marker>
            <c:symbol val="circle"/>
            <c:size val="5"/>
            <c:spPr>
              <a:solidFill>
                <a:schemeClr val="accent5"/>
              </a:solidFill>
              <a:ln w="63500">
                <a:solidFill>
                  <a:schemeClr val="accent1"/>
                </a:solidFill>
              </a:ln>
              <a:effectLst/>
            </c:spPr>
          </c:marker>
          <c:val>
            <c:numRef>
              <c:f>Comparaison!$O$82:$Z$82</c:f>
              <c:numCache>
                <c:formatCode>0.00</c:formatCode>
                <c:ptCount val="12"/>
                <c:pt idx="0">
                  <c:v>15</c:v>
                </c:pt>
                <c:pt idx="1">
                  <c:v>17</c:v>
                </c:pt>
                <c:pt idx="2">
                  <c:v>17</c:v>
                </c:pt>
                <c:pt idx="3">
                  <c:v>32</c:v>
                </c:pt>
                <c:pt idx="4">
                  <c:v>34</c:v>
                </c:pt>
                <c:pt idx="5">
                  <c:v>34</c:v>
                </c:pt>
                <c:pt idx="6">
                  <c:v>49</c:v>
                </c:pt>
                <c:pt idx="7">
                  <c:v>51</c:v>
                </c:pt>
                <c:pt idx="8">
                  <c:v>51</c:v>
                </c:pt>
                <c:pt idx="9">
                  <c:v>66</c:v>
                </c:pt>
                <c:pt idx="10">
                  <c:v>68</c:v>
                </c:pt>
                <c:pt idx="11">
                  <c:v>68</c:v>
                </c:pt>
              </c:numCache>
            </c:numRef>
          </c:val>
          <c:smooth val="0"/>
          <c:extLst>
            <c:ext xmlns:c16="http://schemas.microsoft.com/office/drawing/2014/chart" uri="{C3380CC4-5D6E-409C-BE32-E72D297353CC}">
              <c16:uniqueId val="{00000004-AE9D-428D-AA2A-729A3F5B790E}"/>
            </c:ext>
          </c:extLst>
        </c:ser>
        <c:ser>
          <c:idx val="5"/>
          <c:order val="5"/>
          <c:tx>
            <c:v>4Y Pesticides</c:v>
          </c:tx>
          <c:spPr>
            <a:ln w="28575" cap="rnd">
              <a:solidFill>
                <a:schemeClr val="accent6"/>
              </a:solidFill>
              <a:round/>
            </a:ln>
            <a:effectLst/>
          </c:spPr>
          <c:marker>
            <c:symbol val="circle"/>
            <c:size val="5"/>
            <c:spPr>
              <a:solidFill>
                <a:srgbClr val="146C54"/>
              </a:solidFill>
              <a:ln w="63500">
                <a:solidFill>
                  <a:srgbClr val="146C54"/>
                </a:solidFill>
              </a:ln>
              <a:effectLst/>
            </c:spPr>
          </c:marker>
          <c:val>
            <c:numRef>
              <c:f>Comparaison!$AA$82:$AL$82</c:f>
              <c:numCache>
                <c:formatCode>0.00</c:formatCode>
                <c:ptCount val="12"/>
                <c:pt idx="0">
                  <c:v>15</c:v>
                </c:pt>
                <c:pt idx="1">
                  <c:v>16</c:v>
                </c:pt>
                <c:pt idx="2">
                  <c:v>17</c:v>
                </c:pt>
                <c:pt idx="3">
                  <c:v>17</c:v>
                </c:pt>
                <c:pt idx="4">
                  <c:v>32</c:v>
                </c:pt>
                <c:pt idx="5">
                  <c:v>33</c:v>
                </c:pt>
                <c:pt idx="6">
                  <c:v>34</c:v>
                </c:pt>
                <c:pt idx="7">
                  <c:v>34</c:v>
                </c:pt>
                <c:pt idx="8">
                  <c:v>49</c:v>
                </c:pt>
                <c:pt idx="9">
                  <c:v>50</c:v>
                </c:pt>
                <c:pt idx="10">
                  <c:v>51</c:v>
                </c:pt>
                <c:pt idx="11">
                  <c:v>51</c:v>
                </c:pt>
              </c:numCache>
            </c:numRef>
          </c:val>
          <c:smooth val="0"/>
          <c:extLst>
            <c:ext xmlns:c16="http://schemas.microsoft.com/office/drawing/2014/chart" uri="{C3380CC4-5D6E-409C-BE32-E72D297353CC}">
              <c16:uniqueId val="{00000005-AE9D-428D-AA2A-729A3F5B790E}"/>
            </c:ext>
          </c:extLst>
        </c:ser>
        <c:dLbls>
          <c:showLegendKey val="0"/>
          <c:showVal val="0"/>
          <c:showCatName val="0"/>
          <c:showSerName val="0"/>
          <c:showPercent val="0"/>
          <c:showBubbleSize val="0"/>
        </c:dLbls>
        <c:marker val="1"/>
        <c:smooth val="0"/>
        <c:axId val="920141496"/>
        <c:axId val="920147072"/>
      </c:lineChart>
      <c:catAx>
        <c:axId val="95181815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1819792"/>
        <c:crosses val="autoZero"/>
        <c:auto val="1"/>
        <c:lblAlgn val="ctr"/>
        <c:lblOffset val="100"/>
        <c:noMultiLvlLbl val="0"/>
      </c:catAx>
      <c:valAx>
        <c:axId val="951819792"/>
        <c:scaling>
          <c:orientation val="minMax"/>
          <c:max val="120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Projected Cumulative Annual Earnings </a:t>
                </a:r>
              </a:p>
            </c:rich>
          </c:tx>
          <c:layout>
            <c:manualLayout>
              <c:xMode val="edge"/>
              <c:yMode val="edge"/>
              <c:x val="1.0540184453227932E-2"/>
              <c:y val="0.2149672270695892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quot;$&quot;#,##0_);[Red]\(&quot;$&quot;#,##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1818152"/>
        <c:crosses val="autoZero"/>
        <c:crossBetween val="between"/>
      </c:valAx>
      <c:valAx>
        <c:axId val="920147072"/>
        <c:scaling>
          <c:orientation val="minMax"/>
        </c:scaling>
        <c:delete val="0"/>
        <c:axPos val="r"/>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CA"/>
                  <a:t>Projected Cumulative Pesticide Applicaiton Count</a:t>
                </a:r>
              </a:p>
            </c:rich>
          </c:tx>
          <c:layout>
            <c:manualLayout>
              <c:xMode val="edge"/>
              <c:yMode val="edge"/>
              <c:x val="0.96731878870872368"/>
              <c:y val="9.5297510108533726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141496"/>
        <c:crosses val="max"/>
        <c:crossBetween val="between"/>
      </c:valAx>
      <c:catAx>
        <c:axId val="920141496"/>
        <c:scaling>
          <c:orientation val="minMax"/>
        </c:scaling>
        <c:delete val="1"/>
        <c:axPos val="b"/>
        <c:majorTickMark val="out"/>
        <c:minorTickMark val="none"/>
        <c:tickLblPos val="nextTo"/>
        <c:crossAx val="920147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2700" cap="flat" cmpd="sng" algn="ctr">
      <a:noFill/>
      <a:round/>
    </a:ln>
    <a:effectLst/>
  </c:spPr>
  <c:txPr>
    <a:bodyPr/>
    <a:lstStyle/>
    <a:p>
      <a:pPr>
        <a:defRPr sz="1200" b="1">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size">
        <cx:f dir="row">_xlchart.v1.2</cx:f>
      </cx:numDim>
    </cx:data>
  </cx:chartData>
  <cx:chart>
    <cx:title pos="t" align="ctr" overlay="0">
      <cx:tx>
        <cx:txData>
          <cx:v>2Y</cx:v>
        </cx:txData>
      </cx:tx>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2Y</a:t>
          </a:r>
        </a:p>
      </cx:txPr>
    </cx:title>
    <cx:plotArea>
      <cx:plotAreaRegion>
        <cx:series layoutId="treemap" uniqueId="{B0473197-59E8-4504-8ACB-254F622157BB}" formatIdx="0">
          <cx:tx>
            <cx:txData>
              <cx:f>_xlchart.v1.0</cx:f>
              <cx:v/>
            </cx:txData>
          </cx:tx>
          <cx:spPr>
            <a:ln>
              <a:noFill/>
            </a:ln>
          </cx:spPr>
          <cx:dataLabels pos="inEnd">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00" b="1">
                  <a:solidFill>
                    <a:sysClr val="windowText" lastClr="000000"/>
                  </a:solidFill>
                  <a:latin typeface="Arial" panose="020B0604020202020204" pitchFamily="34" charset="0"/>
                  <a:cs typeface="Arial" panose="020B0604020202020204" pitchFamily="34" charset="0"/>
                </a:endParaRPr>
              </a:p>
            </cx:txPr>
            <cx:visibility seriesName="0" categoryName="1" value="0"/>
          </cx:dataLabels>
          <cx:dataId val="0"/>
          <cx:layoutPr>
            <cx:parentLabelLayout val="banner"/>
          </cx:layoutPr>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size">
        <cx:f dir="row">_xlchart.v1.5</cx:f>
      </cx:numDim>
    </cx:data>
  </cx:chartData>
  <cx:chart>
    <cx:title pos="t" align="ctr" overlay="0">
      <cx:tx>
        <cx:txData>
          <cx:v>3Y</cx:v>
        </cx:txData>
      </cx:tx>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3Y</a:t>
          </a:r>
        </a:p>
      </cx:txPr>
    </cx:title>
    <cx:plotArea>
      <cx:plotAreaRegion>
        <cx:series layoutId="treemap" uniqueId="{AB20B442-D602-4342-BEA1-1B047A38E3C3}" formatIdx="0">
          <cx:tx>
            <cx:txData>
              <cx:f>_xlchart.v1.3</cx:f>
              <cx:v/>
            </cx:txData>
          </cx:tx>
          <cx:spPr>
            <a:ln>
              <a:noFill/>
            </a:ln>
          </cx:spPr>
          <cx:dataLabels pos="inEnd">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00" b="1">
                  <a:solidFill>
                    <a:sysClr val="windowText" lastClr="000000"/>
                  </a:solidFill>
                  <a:latin typeface="Arial" panose="020B0604020202020204" pitchFamily="34" charset="0"/>
                  <a:cs typeface="Arial" panose="020B0604020202020204" pitchFamily="34" charset="0"/>
                </a:endParaRPr>
              </a:p>
            </cx:txPr>
            <cx:visibility seriesName="0" categoryName="1" value="0"/>
          </cx:dataLabels>
          <cx:dataId val="0"/>
          <cx:layoutPr>
            <cx:parentLabelLayout val="banner"/>
          </cx:layoutPr>
        </cx:series>
      </cx:plotAreaRegion>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_xlchart.v1.7</cx:f>
      </cx:strDim>
      <cx:numDim type="size">
        <cx:f dir="row">_xlchart.v1.8</cx:f>
      </cx:numDim>
    </cx:data>
  </cx:chartData>
  <cx:chart>
    <cx:title pos="t" align="ctr" overlay="0">
      <cx:tx>
        <cx:txData>
          <cx:v>4Y</cx:v>
        </cx:txData>
      </cx:tx>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4Y</a:t>
          </a:r>
        </a:p>
      </cx:txPr>
    </cx:title>
    <cx:plotArea>
      <cx:plotAreaRegion>
        <cx:series layoutId="treemap" uniqueId="{1C59BE56-1C0E-444A-A7B0-88DDF485A3A4}" formatIdx="0">
          <cx:tx>
            <cx:txData>
              <cx:f>_xlchart.v1.6</cx:f>
              <cx:v/>
            </cx:txData>
          </cx:tx>
          <cx:spPr>
            <a:ln>
              <a:noFill/>
            </a:ln>
          </cx:spPr>
          <cx:dataLabels pos="inEnd">
            <cx:txPr>
              <a:bodyPr vertOverflow="overflow" horzOverflow="overflow" wrap="square" lIns="0" tIns="0" rIns="0" bIns="0"/>
              <a:lstStyle/>
              <a:p>
                <a:pPr algn="ctr" rtl="0">
                  <a:defRPr sz="1000" b="1" i="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00" b="1">
                  <a:solidFill>
                    <a:sysClr val="windowText" lastClr="000000"/>
                  </a:solidFill>
                  <a:latin typeface="Arial" panose="020B0604020202020204" pitchFamily="34" charset="0"/>
                  <a:cs typeface="Arial" panose="020B0604020202020204" pitchFamily="34" charset="0"/>
                </a:endParaRPr>
              </a:p>
            </cx:txPr>
            <cx:visibility seriesName="0" categoryName="1" value="0"/>
            <cx:separator>, </cx:separator>
          </cx:dataLabels>
          <cx:dataId val="0"/>
          <cx:layoutPr>
            <cx:parentLabelLayout val="banner"/>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3">
  <cs:axisTitle>
    <cs:lnRef idx="0"/>
    <cs:fillRef idx="0"/>
    <cs:effectRef idx="0"/>
    <cs:fontRef idx="minor">
      <a:schemeClr val="tx2"/>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2"/>
    </cs:fontRef>
    <cs:defRPr sz="9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413">
  <cs:axisTitle>
    <cs:lnRef idx="0"/>
    <cs:fillRef idx="0"/>
    <cs:effectRef idx="0"/>
    <cs:fontRef idx="minor">
      <a:schemeClr val="tx2"/>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2"/>
    </cs:fontRef>
    <cs:defRPr sz="9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413">
  <cs:axisTitle>
    <cs:lnRef idx="0"/>
    <cs:fillRef idx="0"/>
    <cs:effectRef idx="0"/>
    <cs:fontRef idx="minor">
      <a:schemeClr val="tx2"/>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cs:chartArea>
  <cs:dataLabel>
    <cs:lnRef idx="0"/>
    <cs:fillRef idx="0"/>
    <cs:effectRef idx="0"/>
    <cs:fontRef idx="minor">
      <a:schemeClr val="lt1"/>
    </cs:fontRef>
    <cs:defRPr sz="9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2"/>
    </cs:fontRef>
    <cs:defRPr sz="9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3.xml"/><Relationship Id="rId5" Type="http://schemas.openxmlformats.org/officeDocument/2006/relationships/image" Target="../media/image5.emf"/><Relationship Id="rId4" Type="http://schemas.microsoft.com/office/2014/relationships/chartEx" Target="../charts/chartEx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194946</xdr:colOff>
      <xdr:row>0</xdr:row>
      <xdr:rowOff>2</xdr:rowOff>
    </xdr:from>
    <xdr:to>
      <xdr:col>3</xdr:col>
      <xdr:colOff>80351</xdr:colOff>
      <xdr:row>0</xdr:row>
      <xdr:rowOff>2971799</xdr:rowOff>
    </xdr:to>
    <xdr:pic>
      <xdr:nvPicPr>
        <xdr:cNvPr id="2" name="Picture 1">
          <a:extLst>
            <a:ext uri="{FF2B5EF4-FFF2-40B4-BE49-F238E27FC236}">
              <a16:creationId xmlns:a16="http://schemas.microsoft.com/office/drawing/2014/main" id="{1B50B7E0-6DCC-4E3C-8930-26E5D23E2FBE}"/>
            </a:ext>
          </a:extLst>
        </xdr:cNvPr>
        <xdr:cNvPicPr>
          <a:picLocks noChangeAspect="1"/>
        </xdr:cNvPicPr>
      </xdr:nvPicPr>
      <xdr:blipFill rotWithShape="1">
        <a:blip xmlns:r="http://schemas.openxmlformats.org/officeDocument/2006/relationships" r:embed="rId1"/>
        <a:srcRect r="486"/>
        <a:stretch/>
      </xdr:blipFill>
      <xdr:spPr>
        <a:xfrm>
          <a:off x="194946" y="2"/>
          <a:ext cx="10394655" cy="2971797"/>
        </a:xfrm>
        <a:prstGeom prst="rect">
          <a:avLst/>
        </a:prstGeom>
      </xdr:spPr>
    </xdr:pic>
    <xdr:clientData/>
  </xdr:twoCellAnchor>
  <xdr:twoCellAnchor editAs="oneCell">
    <xdr:from>
      <xdr:col>0</xdr:col>
      <xdr:colOff>200024</xdr:colOff>
      <xdr:row>54</xdr:row>
      <xdr:rowOff>0</xdr:rowOff>
    </xdr:from>
    <xdr:to>
      <xdr:col>1</xdr:col>
      <xdr:colOff>6458920</xdr:colOff>
      <xdr:row>73</xdr:row>
      <xdr:rowOff>76199</xdr:rowOff>
    </xdr:to>
    <xdr:pic>
      <xdr:nvPicPr>
        <xdr:cNvPr id="3" name="Picture 2">
          <a:extLst>
            <a:ext uri="{FF2B5EF4-FFF2-40B4-BE49-F238E27FC236}">
              <a16:creationId xmlns:a16="http://schemas.microsoft.com/office/drawing/2014/main" id="{DBF4586E-B8A6-4F3B-B378-6EC33623324A}"/>
            </a:ext>
          </a:extLst>
        </xdr:cNvPr>
        <xdr:cNvPicPr>
          <a:picLocks noChangeAspect="1"/>
        </xdr:cNvPicPr>
      </xdr:nvPicPr>
      <xdr:blipFill>
        <a:blip xmlns:r="http://schemas.openxmlformats.org/officeDocument/2006/relationships" r:embed="rId2"/>
        <a:stretch>
          <a:fillRect/>
        </a:stretch>
      </xdr:blipFill>
      <xdr:spPr>
        <a:xfrm>
          <a:off x="200024" y="22288500"/>
          <a:ext cx="6459979" cy="3896782"/>
        </a:xfrm>
        <a:prstGeom prst="rect">
          <a:avLst/>
        </a:prstGeom>
      </xdr:spPr>
    </xdr:pic>
    <xdr:clientData/>
  </xdr:twoCellAnchor>
  <xdr:twoCellAnchor editAs="oneCell">
    <xdr:from>
      <xdr:col>1</xdr:col>
      <xdr:colOff>162983</xdr:colOff>
      <xdr:row>76</xdr:row>
      <xdr:rowOff>57150</xdr:rowOff>
    </xdr:from>
    <xdr:to>
      <xdr:col>1</xdr:col>
      <xdr:colOff>6587066</xdr:colOff>
      <xdr:row>79</xdr:row>
      <xdr:rowOff>113928</xdr:rowOff>
    </xdr:to>
    <xdr:pic>
      <xdr:nvPicPr>
        <xdr:cNvPr id="4" name="Picture 3">
          <a:extLst>
            <a:ext uri="{FF2B5EF4-FFF2-40B4-BE49-F238E27FC236}">
              <a16:creationId xmlns:a16="http://schemas.microsoft.com/office/drawing/2014/main" id="{43A09FB6-4879-48AE-B6C5-E3BE48CCBFDB}"/>
            </a:ext>
            <a:ext uri="{147F2762-F138-4A5C-976F-8EAC2B608ADB}">
              <a16:predDERef xmlns:a16="http://schemas.microsoft.com/office/drawing/2014/main" pred="{DBF4586E-B8A6-4F3B-B378-6EC33623324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91" r="1907" b="13631"/>
        <a:stretch/>
      </xdr:blipFill>
      <xdr:spPr>
        <a:xfrm>
          <a:off x="363008" y="29308425"/>
          <a:ext cx="6424083" cy="628276"/>
        </a:xfrm>
        <a:prstGeom prst="rect">
          <a:avLst/>
        </a:prstGeom>
      </xdr:spPr>
    </xdr:pic>
    <xdr:clientData/>
  </xdr:twoCellAnchor>
  <xdr:oneCellAnchor>
    <xdr:from>
      <xdr:col>1</xdr:col>
      <xdr:colOff>430212</xdr:colOff>
      <xdr:row>89</xdr:row>
      <xdr:rowOff>100012</xdr:rowOff>
    </xdr:from>
    <xdr:ext cx="4210050" cy="1943100"/>
    <xdr:pic>
      <xdr:nvPicPr>
        <xdr:cNvPr id="5" name="Picture 4">
          <a:extLst>
            <a:ext uri="{FF2B5EF4-FFF2-40B4-BE49-F238E27FC236}">
              <a16:creationId xmlns:a16="http://schemas.microsoft.com/office/drawing/2014/main" id="{FD763E92-E86F-46F3-AF6F-8E936A4E3F46}"/>
            </a:ext>
            <a:ext uri="{147F2762-F138-4A5C-976F-8EAC2B608ADB}">
              <a16:predDERef xmlns:a16="http://schemas.microsoft.com/office/drawing/2014/main" pred="{43A09FB6-4879-48AE-B6C5-E3BE48CCBFDB}"/>
            </a:ext>
          </a:extLst>
        </xdr:cNvPr>
        <xdr:cNvPicPr>
          <a:picLocks noChangeAspect="1"/>
        </xdr:cNvPicPr>
      </xdr:nvPicPr>
      <xdr:blipFill rotWithShape="1">
        <a:blip xmlns:r="http://schemas.openxmlformats.org/officeDocument/2006/relationships" r:embed="rId4"/>
        <a:srcRect l="5015" r="31459" b="37816"/>
        <a:stretch/>
      </xdr:blipFill>
      <xdr:spPr>
        <a:xfrm>
          <a:off x="628650" y="33699450"/>
          <a:ext cx="4210050" cy="19431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12699</xdr:colOff>
      <xdr:row>1</xdr:row>
      <xdr:rowOff>25400</xdr:rowOff>
    </xdr:from>
    <xdr:to>
      <xdr:col>13</xdr:col>
      <xdr:colOff>11506199</xdr:colOff>
      <xdr:row>46</xdr:row>
      <xdr:rowOff>38100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10584</xdr:colOff>
      <xdr:row>47</xdr:row>
      <xdr:rowOff>0</xdr:rowOff>
    </xdr:from>
    <xdr:to>
      <xdr:col>11</xdr:col>
      <xdr:colOff>1492250</xdr:colOff>
      <xdr:row>193</xdr:row>
      <xdr:rowOff>179917</xdr:rowOff>
    </xdr:to>
    <xdr:graphicFrame macro="">
      <xdr:nvGraphicFramePr>
        <xdr:cNvPr id="2" name="Chart 1">
          <a:extLst>
            <a:ext uri="{FF2B5EF4-FFF2-40B4-BE49-F238E27FC236}">
              <a16:creationId xmlns:a16="http://schemas.microsoft.com/office/drawing/2014/main" id="{D92EF384-7FC6-4BCE-98C3-02101C638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1206500</xdr:colOff>
      <xdr:row>169</xdr:row>
      <xdr:rowOff>105834</xdr:rowOff>
    </xdr:from>
    <xdr:to>
      <xdr:col>11</xdr:col>
      <xdr:colOff>1301750</xdr:colOff>
      <xdr:row>173</xdr:row>
      <xdr:rowOff>179916</xdr:rowOff>
    </xdr:to>
    <xdr:sp macro="" textlink="">
      <xdr:nvSpPr>
        <xdr:cNvPr id="3" name="TextBox 2">
          <a:extLst>
            <a:ext uri="{FF2B5EF4-FFF2-40B4-BE49-F238E27FC236}">
              <a16:creationId xmlns:a16="http://schemas.microsoft.com/office/drawing/2014/main" id="{5463B0B5-6E62-7F59-4F41-E291B311B208}"/>
            </a:ext>
          </a:extLst>
        </xdr:cNvPr>
        <xdr:cNvSpPr txBox="1"/>
      </xdr:nvSpPr>
      <xdr:spPr>
        <a:xfrm>
          <a:off x="16865600" y="10507134"/>
          <a:ext cx="1609725" cy="83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latin typeface="Arial" panose="020B0604020202020204" pitchFamily="34" charset="0"/>
              <a:cs typeface="Arial" panose="020B0604020202020204" pitchFamily="34" charset="0"/>
            </a:rPr>
            <a:t>Legend</a:t>
          </a:r>
        </a:p>
        <a:p>
          <a:r>
            <a:rPr lang="en-US" sz="1200">
              <a:solidFill>
                <a:sysClr val="windowText" lastClr="000000"/>
              </a:solidFill>
              <a:latin typeface="Arial" panose="020B0604020202020204" pitchFamily="34" charset="0"/>
              <a:cs typeface="Arial" panose="020B0604020202020204" pitchFamily="34" charset="0"/>
            </a:rPr>
            <a:t>2-year</a:t>
          </a:r>
          <a:r>
            <a:rPr lang="en-US" sz="1200" baseline="0">
              <a:solidFill>
                <a:sysClr val="windowText" lastClr="000000"/>
              </a:solidFill>
              <a:latin typeface="Arial" panose="020B0604020202020204" pitchFamily="34" charset="0"/>
              <a:cs typeface="Arial" panose="020B0604020202020204" pitchFamily="34" charset="0"/>
            </a:rPr>
            <a:t> rotation    </a:t>
          </a:r>
          <a:r>
            <a:rPr lang="en-US" sz="1200" b="1" baseline="0">
              <a:solidFill>
                <a:schemeClr val="accent2">
                  <a:lumMod val="20000"/>
                  <a:lumOff val="80000"/>
                </a:schemeClr>
              </a:solidFill>
              <a:latin typeface="Arial" panose="020B0604020202020204" pitchFamily="34" charset="0"/>
              <a:cs typeface="Arial" panose="020B0604020202020204" pitchFamily="34" charset="0"/>
            </a:rPr>
            <a:t>___</a:t>
          </a:r>
        </a:p>
        <a:p>
          <a:r>
            <a:rPr lang="en-US" sz="1200" baseline="0">
              <a:latin typeface="Arial" panose="020B0604020202020204" pitchFamily="34" charset="0"/>
              <a:cs typeface="Arial" panose="020B0604020202020204" pitchFamily="34" charset="0"/>
            </a:rPr>
            <a:t>3-year rotation    </a:t>
          </a:r>
          <a:r>
            <a:rPr lang="en-US" sz="1200" b="1" baseline="0">
              <a:solidFill>
                <a:schemeClr val="accent1">
                  <a:lumMod val="60000"/>
                  <a:lumOff val="40000"/>
                </a:schemeClr>
              </a:solidFill>
              <a:latin typeface="Arial" panose="020B0604020202020204" pitchFamily="34" charset="0"/>
              <a:cs typeface="Arial" panose="020B0604020202020204" pitchFamily="34" charset="0"/>
            </a:rPr>
            <a:t>___</a:t>
          </a:r>
        </a:p>
        <a:p>
          <a:r>
            <a:rPr lang="en-US" sz="1200" baseline="0">
              <a:latin typeface="Arial" panose="020B0604020202020204" pitchFamily="34" charset="0"/>
              <a:cs typeface="Arial" panose="020B0604020202020204" pitchFamily="34" charset="0"/>
            </a:rPr>
            <a:t>4-year rotation    </a:t>
          </a:r>
          <a:r>
            <a:rPr lang="en-US" sz="1200" b="1" baseline="0">
              <a:solidFill>
                <a:schemeClr val="accent6">
                  <a:lumMod val="60000"/>
                  <a:lumOff val="40000"/>
                </a:schemeClr>
              </a:solidFill>
              <a:latin typeface="Arial" panose="020B0604020202020204" pitchFamily="34" charset="0"/>
              <a:cs typeface="Arial" panose="020B0604020202020204" pitchFamily="34" charset="0"/>
            </a:rPr>
            <a:t>___</a:t>
          </a:r>
          <a:endParaRPr lang="en-US" sz="1200" b="1">
            <a:solidFill>
              <a:schemeClr val="accent6">
                <a:lumMod val="60000"/>
                <a:lumOff val="40000"/>
              </a:schemeClr>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74221</xdr:colOff>
      <xdr:row>72</xdr:row>
      <xdr:rowOff>101600</xdr:rowOff>
    </xdr:from>
    <xdr:to>
      <xdr:col>7</xdr:col>
      <xdr:colOff>952500</xdr:colOff>
      <xdr:row>99</xdr:row>
      <xdr:rowOff>148441</xdr:rowOff>
    </xdr:to>
    <xdr:graphicFrame macro="">
      <xdr:nvGraphicFramePr>
        <xdr:cNvPr id="2" name="Chart 1">
          <a:extLst>
            <a:ext uri="{FF2B5EF4-FFF2-40B4-BE49-F238E27FC236}">
              <a16:creationId xmlns:a16="http://schemas.microsoft.com/office/drawing/2014/main" id="{0F5B9B7C-A898-4577-A052-4200AC0EF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79818</xdr:colOff>
      <xdr:row>38</xdr:row>
      <xdr:rowOff>165090</xdr:rowOff>
    </xdr:from>
    <xdr:to>
      <xdr:col>7</xdr:col>
      <xdr:colOff>1009650</xdr:colOff>
      <xdr:row>49</xdr:row>
      <xdr:rowOff>177800</xdr:rowOff>
    </xdr:to>
    <xdr:grpSp>
      <xdr:nvGrpSpPr>
        <xdr:cNvPr id="3" name="Group 2">
          <a:extLst>
            <a:ext uri="{FF2B5EF4-FFF2-40B4-BE49-F238E27FC236}">
              <a16:creationId xmlns:a16="http://schemas.microsoft.com/office/drawing/2014/main" id="{4B1F6199-9BF2-4CE5-89EA-6A88C1F92ACF}"/>
            </a:ext>
          </a:extLst>
        </xdr:cNvPr>
        <xdr:cNvGrpSpPr/>
      </xdr:nvGrpSpPr>
      <xdr:grpSpPr>
        <a:xfrm>
          <a:off x="283925" y="8764804"/>
          <a:ext cx="10808618" cy="2121817"/>
          <a:chOff x="7852049" y="13767669"/>
          <a:chExt cx="9884258" cy="2006869"/>
        </a:xfrm>
      </xdr:grpSpPr>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9CAEB26A-031F-D7AA-B525-60AAB8238E68}"/>
                  </a:ext>
                </a:extLst>
              </xdr:cNvPr>
              <xdr:cNvGraphicFramePr/>
            </xdr:nvGraphicFramePr>
            <xdr:xfrm>
              <a:off x="7852049" y="13767669"/>
              <a:ext cx="3348540" cy="1995417"/>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7852049" y="13767669"/>
                <a:ext cx="3348540" cy="1995417"/>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88ED3D99-3DD4-4702-A2D1-19AFB7E3037C}"/>
                  </a:ext>
                </a:extLst>
              </xdr:cNvPr>
              <xdr:cNvGraphicFramePr/>
            </xdr:nvGraphicFramePr>
            <xdr:xfrm>
              <a:off x="11100583" y="13791999"/>
              <a:ext cx="3348540" cy="1982539"/>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100583" y="13791999"/>
                <a:ext cx="3348540" cy="198253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2AF0DEC1-0306-5869-0047-332B7E8B87B3}"/>
                  </a:ext>
                </a:extLst>
              </xdr:cNvPr>
              <xdr:cNvGraphicFramePr/>
            </xdr:nvGraphicFramePr>
            <xdr:xfrm>
              <a:off x="14301648" y="13791998"/>
              <a:ext cx="3434659" cy="1971088"/>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4301648" y="13791998"/>
                <a:ext cx="3434659" cy="197108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grpSp>
    <xdr:clientData/>
  </xdr:twoCellAnchor>
  <mc:AlternateContent xmlns:mc="http://schemas.openxmlformats.org/markup-compatibility/2006">
    <mc:Choice xmlns:a14="http://schemas.microsoft.com/office/drawing/2010/main" Requires="a14">
      <xdr:twoCellAnchor editAs="oneCell">
        <xdr:from>
          <xdr:col>1</xdr:col>
          <xdr:colOff>25400</xdr:colOff>
          <xdr:row>67</xdr:row>
          <xdr:rowOff>0</xdr:rowOff>
        </xdr:from>
        <xdr:to>
          <xdr:col>7</xdr:col>
          <xdr:colOff>1047750</xdr:colOff>
          <xdr:row>71</xdr:row>
          <xdr:rowOff>12699</xdr:rowOff>
        </xdr:to>
        <xdr:pic>
          <xdr:nvPicPr>
            <xdr:cNvPr id="8" name="Picture 7">
              <a:extLst>
                <a:ext uri="{FF2B5EF4-FFF2-40B4-BE49-F238E27FC236}">
                  <a16:creationId xmlns:a16="http://schemas.microsoft.com/office/drawing/2014/main" id="{8FCA8E28-EB32-1F7E-C86F-11AE65301EF8}"/>
                </a:ext>
              </a:extLst>
            </xdr:cNvPr>
            <xdr:cNvPicPr>
              <a:picLocks noChangeAspect="1" noChangeArrowheads="1"/>
              <a:extLst>
                <a:ext uri="{84589F7E-364E-4C9E-8A38-B11213B215E9}">
                  <a14:cameraTool cellRange="'12CF_Hide'!$B$3:$AL$6" spid="_x0000_s14251"/>
                </a:ext>
              </a:extLst>
            </xdr:cNvPicPr>
          </xdr:nvPicPr>
          <xdr:blipFill>
            <a:blip xmlns:r="http://schemas.openxmlformats.org/officeDocument/2006/relationships" r:embed="rId5"/>
            <a:srcRect/>
            <a:stretch>
              <a:fillRect/>
            </a:stretch>
          </xdr:blipFill>
          <xdr:spPr bwMode="auto">
            <a:xfrm>
              <a:off x="228600" y="12268200"/>
              <a:ext cx="10909300" cy="8001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67</xdr:row>
          <xdr:rowOff>0</xdr:rowOff>
        </xdr:from>
        <xdr:to>
          <xdr:col>7</xdr:col>
          <xdr:colOff>1047750</xdr:colOff>
          <xdr:row>71</xdr:row>
          <xdr:rowOff>12701</xdr:rowOff>
        </xdr:to>
        <xdr:pic>
          <xdr:nvPicPr>
            <xdr:cNvPr id="14243" name="Picture 7">
              <a:extLst>
                <a:ext uri="{FF2B5EF4-FFF2-40B4-BE49-F238E27FC236}">
                  <a16:creationId xmlns:a16="http://schemas.microsoft.com/office/drawing/2014/main" id="{362C72CE-D858-DFAD-4B80-A2125EED5917}"/>
                </a:ext>
              </a:extLst>
            </xdr:cNvPr>
            <xdr:cNvPicPr>
              <a:picLocks noChangeAspect="1" noChangeArrowheads="1"/>
              <a:extLst>
                <a:ext uri="{84589F7E-364E-4C9E-8A38-B11213B215E9}">
                  <a14:cameraTool cellRange="'12CF_Hide'!$B$3:$AL$6" spid="_x0000_s14252"/>
                </a:ext>
              </a:extLst>
            </xdr:cNvPicPr>
          </xdr:nvPicPr>
          <xdr:blipFill>
            <a:blip xmlns:r="http://schemas.openxmlformats.org/officeDocument/2006/relationships" r:embed="rId5"/>
            <a:srcRect/>
            <a:stretch>
              <a:fillRect/>
            </a:stretch>
          </xdr:blipFill>
          <xdr:spPr bwMode="auto">
            <a:xfrm>
              <a:off x="222250" y="12960350"/>
              <a:ext cx="10871200" cy="8001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0.bin"/><Relationship Id="rId1" Type="http://schemas.openxmlformats.org/officeDocument/2006/relationships/hyperlink" Target="https://www.bankofcanada.ca/rates/price-indexes/cpi/"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0369-9577-4643-9374-9F395B14E3FA}">
  <sheetPr codeName="Sheet1"/>
  <dimension ref="A1:T137"/>
  <sheetViews>
    <sheetView tabSelected="1" topLeftCell="A2" zoomScale="70" zoomScaleNormal="70" workbookViewId="0">
      <selection activeCell="B2" sqref="B2:C2"/>
    </sheetView>
  </sheetViews>
  <sheetFormatPr defaultColWidth="0" defaultRowHeight="15" zeroHeight="1" x14ac:dyDescent="0.2"/>
  <cols>
    <col min="1" max="1" width="2.625" style="10" customWidth="1"/>
    <col min="2" max="2" width="110.75" style="8" bestFit="1" customWidth="1"/>
    <col min="3" max="3" width="24.625" style="8" customWidth="1"/>
    <col min="4" max="4" width="2.625" style="10" customWidth="1"/>
    <col min="5" max="12" width="9" style="9" hidden="1" customWidth="1"/>
    <col min="13" max="20" width="0" style="9" hidden="1" customWidth="1"/>
    <col min="21" max="16384" width="9" style="9" hidden="1"/>
  </cols>
  <sheetData>
    <row r="1" spans="1:4" customFormat="1" ht="252.75" customHeight="1" x14ac:dyDescent="0.2">
      <c r="A1" s="10"/>
      <c r="B1" s="3"/>
      <c r="C1" s="3"/>
      <c r="D1" s="10"/>
    </row>
    <row r="2" spans="1:4" customFormat="1" ht="229.5" customHeight="1" x14ac:dyDescent="0.2">
      <c r="A2" s="10"/>
      <c r="B2" s="451" t="s">
        <v>0</v>
      </c>
      <c r="C2" s="451"/>
      <c r="D2" s="10"/>
    </row>
    <row r="3" spans="1:4" s="405" customFormat="1" ht="169.5" customHeight="1" x14ac:dyDescent="0.2">
      <c r="A3" s="404"/>
      <c r="B3" s="457" t="s">
        <v>1</v>
      </c>
      <c r="C3" s="457"/>
      <c r="D3" s="404"/>
    </row>
    <row r="4" spans="1:4" customFormat="1" ht="257.45" customHeight="1" x14ac:dyDescent="0.2">
      <c r="A4" s="10"/>
      <c r="B4" s="452" t="s">
        <v>2</v>
      </c>
      <c r="C4" s="452"/>
      <c r="D4" s="10"/>
    </row>
    <row r="5" spans="1:4" customFormat="1" ht="338.1" customHeight="1" x14ac:dyDescent="0.2">
      <c r="A5" s="10"/>
      <c r="B5" s="451" t="s">
        <v>3</v>
      </c>
      <c r="C5" s="451"/>
      <c r="D5" s="10"/>
    </row>
    <row r="6" spans="1:4" customFormat="1" ht="8.25" hidden="1" customHeight="1" x14ac:dyDescent="0.2">
      <c r="A6" s="10"/>
      <c r="B6" s="392"/>
      <c r="C6" s="343"/>
      <c r="D6" s="10"/>
    </row>
    <row r="7" spans="1:4" customFormat="1" ht="45" customHeight="1" x14ac:dyDescent="0.2">
      <c r="A7" s="10"/>
      <c r="B7" s="458" t="s">
        <v>4</v>
      </c>
      <c r="C7" s="459"/>
      <c r="D7" s="10"/>
    </row>
    <row r="8" spans="1:4" customFormat="1" ht="38.1" customHeight="1" x14ac:dyDescent="0.2">
      <c r="A8" s="10"/>
      <c r="B8" s="456" t="s">
        <v>5</v>
      </c>
      <c r="C8" s="456"/>
      <c r="D8" s="10"/>
    </row>
    <row r="9" spans="1:4" customFormat="1" ht="27.6" customHeight="1" x14ac:dyDescent="0.2">
      <c r="A9" s="10"/>
      <c r="B9" s="460" t="s">
        <v>6</v>
      </c>
      <c r="C9" s="460"/>
      <c r="D9" s="10"/>
    </row>
    <row r="10" spans="1:4" customFormat="1" x14ac:dyDescent="0.2">
      <c r="A10" s="10"/>
      <c r="B10" s="3"/>
      <c r="C10" s="3"/>
      <c r="D10" s="10"/>
    </row>
    <row r="11" spans="1:4" customFormat="1" ht="15.75" x14ac:dyDescent="0.2">
      <c r="A11" s="10"/>
      <c r="B11" s="208" t="s">
        <v>7</v>
      </c>
      <c r="C11" s="11"/>
      <c r="D11" s="10"/>
    </row>
    <row r="12" spans="1:4" customFormat="1" ht="18" customHeight="1" x14ac:dyDescent="0.2">
      <c r="A12" s="10"/>
      <c r="B12" s="448" t="s">
        <v>8</v>
      </c>
      <c r="C12" s="463" t="s">
        <v>9</v>
      </c>
      <c r="D12" s="10"/>
    </row>
    <row r="13" spans="1:4" customFormat="1" ht="18" customHeight="1" x14ac:dyDescent="0.2">
      <c r="A13" s="10"/>
      <c r="B13" s="448"/>
      <c r="C13" s="463"/>
      <c r="D13" s="10"/>
    </row>
    <row r="14" spans="1:4" customFormat="1" ht="18" customHeight="1" x14ac:dyDescent="0.2">
      <c r="A14" s="10"/>
      <c r="B14" s="448" t="s">
        <v>10</v>
      </c>
      <c r="C14" s="464" t="s">
        <v>11</v>
      </c>
      <c r="D14" s="10"/>
    </row>
    <row r="15" spans="1:4" customFormat="1" ht="18" customHeight="1" x14ac:dyDescent="0.2">
      <c r="A15" s="10"/>
      <c r="B15" s="448"/>
      <c r="C15" s="464"/>
      <c r="D15" s="10"/>
    </row>
    <row r="16" spans="1:4" customFormat="1" ht="18" customHeight="1" x14ac:dyDescent="0.2">
      <c r="A16" s="10"/>
      <c r="B16" s="448" t="s">
        <v>12</v>
      </c>
      <c r="C16" s="449" t="s">
        <v>13</v>
      </c>
      <c r="D16" s="10"/>
    </row>
    <row r="17" spans="1:4" customFormat="1" ht="18" customHeight="1" x14ac:dyDescent="0.2">
      <c r="A17" s="10"/>
      <c r="B17" s="448"/>
      <c r="C17" s="449"/>
      <c r="D17" s="10"/>
    </row>
    <row r="18" spans="1:4" customFormat="1" ht="18" customHeight="1" x14ac:dyDescent="0.2">
      <c r="A18" s="10"/>
      <c r="B18" s="448" t="s">
        <v>14</v>
      </c>
      <c r="C18" s="450" t="s">
        <v>15</v>
      </c>
      <c r="D18" s="10"/>
    </row>
    <row r="19" spans="1:4" customFormat="1" ht="18" customHeight="1" x14ac:dyDescent="0.2">
      <c r="A19" s="10"/>
      <c r="B19" s="448"/>
      <c r="C19" s="450"/>
      <c r="D19" s="10"/>
    </row>
    <row r="20" spans="1:4" customFormat="1" ht="18" customHeight="1" x14ac:dyDescent="0.2">
      <c r="A20" s="10"/>
      <c r="B20" s="448" t="s">
        <v>16</v>
      </c>
      <c r="C20" s="12" t="s">
        <v>17</v>
      </c>
      <c r="D20" s="10"/>
    </row>
    <row r="21" spans="1:4" customFormat="1" ht="18" customHeight="1" x14ac:dyDescent="0.2">
      <c r="A21" s="10"/>
      <c r="B21" s="448"/>
      <c r="C21" s="13" t="s">
        <v>18</v>
      </c>
      <c r="D21" s="10"/>
    </row>
    <row r="22" spans="1:4" customFormat="1" ht="18" customHeight="1" x14ac:dyDescent="0.2">
      <c r="A22" s="10"/>
      <c r="B22" s="448"/>
      <c r="C22" s="361" t="s">
        <v>19</v>
      </c>
      <c r="D22" s="10"/>
    </row>
    <row r="23" spans="1:4" customFormat="1" ht="32.450000000000003" customHeight="1" x14ac:dyDescent="0.2">
      <c r="A23" s="10"/>
      <c r="B23" s="245" t="s">
        <v>20</v>
      </c>
      <c r="C23" s="52"/>
      <c r="D23" s="10"/>
    </row>
    <row r="24" spans="1:4" customFormat="1" x14ac:dyDescent="0.2">
      <c r="A24" s="10"/>
      <c r="B24" s="3"/>
      <c r="C24" s="3"/>
      <c r="D24" s="10"/>
    </row>
    <row r="25" spans="1:4" customFormat="1" ht="15.75" x14ac:dyDescent="0.2">
      <c r="A25" s="10"/>
      <c r="B25" s="208" t="s">
        <v>21</v>
      </c>
      <c r="C25" s="11"/>
      <c r="D25" s="10"/>
    </row>
    <row r="26" spans="1:4" customFormat="1" ht="45" x14ac:dyDescent="0.2">
      <c r="A26" s="10"/>
      <c r="B26" s="229" t="s">
        <v>22</v>
      </c>
      <c r="C26" s="202"/>
      <c r="D26" s="10"/>
    </row>
    <row r="27" spans="1:4" customFormat="1" ht="15.75" customHeight="1" x14ac:dyDescent="0.2">
      <c r="A27" s="10"/>
      <c r="B27" s="461" t="s">
        <v>23</v>
      </c>
      <c r="C27" s="462" t="s">
        <v>24</v>
      </c>
      <c r="D27" s="10"/>
    </row>
    <row r="28" spans="1:4" customFormat="1" ht="14.25" x14ac:dyDescent="0.2">
      <c r="A28" s="10"/>
      <c r="B28" s="461"/>
      <c r="C28" s="462"/>
      <c r="D28" s="10"/>
    </row>
    <row r="29" spans="1:4" customFormat="1" ht="14.25" x14ac:dyDescent="0.2">
      <c r="A29" s="10"/>
      <c r="B29" s="461"/>
      <c r="C29" s="462"/>
      <c r="D29" s="10"/>
    </row>
    <row r="30" spans="1:4" customFormat="1" ht="17.100000000000001" customHeight="1" x14ac:dyDescent="0.2">
      <c r="A30" s="10"/>
      <c r="B30" s="461"/>
      <c r="C30" s="462"/>
      <c r="D30" s="10"/>
    </row>
    <row r="31" spans="1:4" customFormat="1" x14ac:dyDescent="0.2">
      <c r="A31" s="10"/>
      <c r="B31" s="267" t="s">
        <v>25</v>
      </c>
      <c r="C31" s="150" t="s">
        <v>26</v>
      </c>
      <c r="D31" s="10"/>
    </row>
    <row r="32" spans="1:4" customFormat="1" x14ac:dyDescent="0.2">
      <c r="A32" s="10"/>
      <c r="B32" s="267" t="s">
        <v>27</v>
      </c>
      <c r="C32" s="150" t="s">
        <v>28</v>
      </c>
      <c r="D32" s="10"/>
    </row>
    <row r="33" spans="1:4" customFormat="1" x14ac:dyDescent="0.2">
      <c r="A33" s="10"/>
      <c r="B33" s="267" t="s">
        <v>29</v>
      </c>
      <c r="C33" s="150" t="str">
        <f>SUBSTITUTE(SUBSTITUTE(ADDRESS(12,MATCH(Introduction!$B33,Cultures!$20:$20,0)),"$12",""),"$","")</f>
        <v>P</v>
      </c>
      <c r="D33" s="10"/>
    </row>
    <row r="34" spans="1:4" customFormat="1" x14ac:dyDescent="0.2">
      <c r="A34" s="10"/>
      <c r="B34" s="267" t="s">
        <v>30</v>
      </c>
      <c r="C34" s="150" t="s">
        <v>31</v>
      </c>
      <c r="D34" s="10"/>
    </row>
    <row r="35" spans="1:4" customFormat="1" x14ac:dyDescent="0.2">
      <c r="A35" s="10"/>
      <c r="B35" s="267" t="str">
        <f>Cultures!C20</f>
        <v>Culture personnalisée 1</v>
      </c>
      <c r="C35" s="150" t="str">
        <f>SUBSTITUTE(SUBSTITUTE(ADDRESS(12,MATCH(Introduction!$B35,Cultures!$20:$20,0)),"$12",""),"$","")</f>
        <v>C</v>
      </c>
      <c r="D35" s="10"/>
    </row>
    <row r="36" spans="1:4" customFormat="1" x14ac:dyDescent="0.2">
      <c r="A36" s="10"/>
      <c r="B36" s="267" t="str">
        <f>Cultures!D20</f>
        <v>Culture personnalisée 2</v>
      </c>
      <c r="C36" s="150" t="str">
        <f>SUBSTITUTE(SUBSTITUTE(ADDRESS(12,MATCH(Introduction!$B36,Cultures!$20:$20,0)),"$12",""),"$","")</f>
        <v>D</v>
      </c>
      <c r="D36" s="10"/>
    </row>
    <row r="37" spans="1:4" customFormat="1" x14ac:dyDescent="0.2">
      <c r="A37" s="10"/>
      <c r="B37" s="267" t="str">
        <f>Cultures!E20</f>
        <v>Culture personnalisée 3</v>
      </c>
      <c r="C37" s="150" t="str">
        <f>SUBSTITUTE(SUBSTITUTE(ADDRESS(12,MATCH(Introduction!$B37,Cultures!$20:$20,0)),"$12",""),"$","")</f>
        <v>E</v>
      </c>
      <c r="D37" s="10"/>
    </row>
    <row r="38" spans="1:4" customFormat="1" x14ac:dyDescent="0.2">
      <c r="A38" s="10"/>
      <c r="B38" s="267" t="str">
        <f>Cultures!F20</f>
        <v>Culture personnalisée 4</v>
      </c>
      <c r="C38" s="150" t="str">
        <f>SUBSTITUTE(SUBSTITUTE(ADDRESS(12,MATCH(Introduction!$B38,Cultures!$20:$20,0)),"$12",""),"$","")</f>
        <v>F</v>
      </c>
      <c r="D38" s="10"/>
    </row>
    <row r="39" spans="1:4" customFormat="1" x14ac:dyDescent="0.2">
      <c r="A39" s="10"/>
      <c r="B39" s="267" t="s">
        <v>32</v>
      </c>
      <c r="C39" s="150" t="s">
        <v>33</v>
      </c>
      <c r="D39" s="10"/>
    </row>
    <row r="40" spans="1:4" customFormat="1" x14ac:dyDescent="0.2">
      <c r="A40" s="10"/>
      <c r="B40" s="267" t="s">
        <v>34</v>
      </c>
      <c r="C40" s="150" t="s">
        <v>35</v>
      </c>
      <c r="D40" s="10"/>
    </row>
    <row r="41" spans="1:4" customFormat="1" x14ac:dyDescent="0.2">
      <c r="A41" s="10"/>
      <c r="B41" s="267" t="s">
        <v>36</v>
      </c>
      <c r="C41" s="150" t="s">
        <v>37</v>
      </c>
      <c r="D41" s="10"/>
    </row>
    <row r="42" spans="1:4" customFormat="1" x14ac:dyDescent="0.2">
      <c r="A42" s="10"/>
      <c r="B42" s="267" t="s">
        <v>38</v>
      </c>
      <c r="C42" s="150" t="s">
        <v>39</v>
      </c>
      <c r="D42" s="10"/>
    </row>
    <row r="43" spans="1:4" customFormat="1" x14ac:dyDescent="0.2">
      <c r="A43" s="10"/>
      <c r="B43" s="267" t="s">
        <v>40</v>
      </c>
      <c r="C43" s="414" t="s">
        <v>41</v>
      </c>
      <c r="D43" s="10"/>
    </row>
    <row r="44" spans="1:4" customFormat="1" x14ac:dyDescent="0.2">
      <c r="A44" s="10"/>
      <c r="B44" s="267" t="s">
        <v>42</v>
      </c>
      <c r="C44" s="150" t="s">
        <v>43</v>
      </c>
      <c r="D44" s="10"/>
    </row>
    <row r="45" spans="1:4" customFormat="1" x14ac:dyDescent="0.2">
      <c r="A45" s="10"/>
      <c r="B45" s="267" t="s">
        <v>44</v>
      </c>
      <c r="C45" s="150" t="s">
        <v>45</v>
      </c>
      <c r="D45" s="10"/>
    </row>
    <row r="46" spans="1:4" customFormat="1" x14ac:dyDescent="0.2">
      <c r="A46" s="10"/>
      <c r="B46" s="267" t="s">
        <v>46</v>
      </c>
      <c r="C46" s="150" t="s">
        <v>47</v>
      </c>
      <c r="D46" s="10"/>
    </row>
    <row r="47" spans="1:4" x14ac:dyDescent="0.2">
      <c r="B47" s="3"/>
      <c r="C47" s="3"/>
    </row>
    <row r="48" spans="1:4" ht="15.75" x14ac:dyDescent="0.2">
      <c r="B48" s="453" t="s">
        <v>48</v>
      </c>
      <c r="C48" s="454"/>
    </row>
    <row r="49" spans="1:20" ht="35.1" customHeight="1" x14ac:dyDescent="0.2">
      <c r="B49" s="455" t="s">
        <v>49</v>
      </c>
      <c r="C49" s="455"/>
    </row>
    <row r="50" spans="1:20" ht="15.75" x14ac:dyDescent="0.2">
      <c r="B50" s="208" t="s">
        <v>50</v>
      </c>
      <c r="C50" s="11"/>
    </row>
    <row r="51" spans="1:20" x14ac:dyDescent="0.2">
      <c r="B51" s="202" t="s">
        <v>51</v>
      </c>
      <c r="C51" s="202"/>
    </row>
    <row r="52" spans="1:20" x14ac:dyDescent="0.2">
      <c r="B52" s="202"/>
      <c r="C52" s="202"/>
    </row>
    <row r="53" spans="1:20" ht="15.75" x14ac:dyDescent="0.2">
      <c r="B53" s="207" t="s">
        <v>52</v>
      </c>
      <c r="C53" s="22"/>
    </row>
    <row r="54" spans="1:20" s="407" customFormat="1" ht="42" customHeight="1" x14ac:dyDescent="0.2">
      <c r="A54" s="406"/>
      <c r="B54" s="229" t="s">
        <v>53</v>
      </c>
      <c r="C54" s="229"/>
      <c r="D54" s="406"/>
    </row>
    <row r="55" spans="1:20" x14ac:dyDescent="0.2">
      <c r="B55" s="202"/>
      <c r="C55" s="202"/>
    </row>
    <row r="56" spans="1:20" x14ac:dyDescent="0.2">
      <c r="B56" s="202"/>
      <c r="C56" s="202"/>
    </row>
    <row r="57" spans="1:20" x14ac:dyDescent="0.2">
      <c r="B57" s="202"/>
      <c r="C57" s="202"/>
    </row>
    <row r="58" spans="1:20" s="10" customFormat="1" x14ac:dyDescent="0.2">
      <c r="B58" s="202"/>
      <c r="C58" s="202"/>
      <c r="E58" s="9"/>
      <c r="F58" s="9"/>
      <c r="G58" s="9"/>
      <c r="H58" s="9"/>
      <c r="I58" s="9"/>
      <c r="J58" s="9"/>
      <c r="K58" s="9"/>
      <c r="L58" s="9"/>
      <c r="M58" s="9"/>
      <c r="N58" s="9"/>
      <c r="O58" s="9"/>
      <c r="P58" s="9"/>
      <c r="Q58" s="9"/>
      <c r="R58" s="9"/>
      <c r="S58" s="9"/>
      <c r="T58" s="9"/>
    </row>
    <row r="59" spans="1:20" s="10" customFormat="1" x14ac:dyDescent="0.2">
      <c r="B59" s="202"/>
      <c r="C59" s="202"/>
      <c r="E59" s="9"/>
      <c r="F59" s="9"/>
      <c r="G59" s="9"/>
      <c r="H59" s="9"/>
      <c r="I59" s="9"/>
      <c r="J59" s="9"/>
      <c r="K59" s="9"/>
      <c r="L59" s="9"/>
      <c r="M59" s="9"/>
      <c r="N59" s="9"/>
      <c r="O59" s="9"/>
      <c r="P59" s="9"/>
      <c r="Q59" s="9"/>
      <c r="R59" s="9"/>
      <c r="S59" s="9"/>
      <c r="T59" s="9"/>
    </row>
    <row r="60" spans="1:20" s="10" customFormat="1" x14ac:dyDescent="0.2">
      <c r="B60" s="202"/>
      <c r="C60" s="202"/>
      <c r="E60" s="9"/>
      <c r="F60" s="9"/>
      <c r="G60" s="9"/>
      <c r="H60" s="9"/>
      <c r="I60" s="9"/>
      <c r="J60" s="9"/>
      <c r="K60" s="9"/>
      <c r="L60" s="9"/>
      <c r="M60" s="9"/>
      <c r="N60" s="9"/>
      <c r="O60" s="9"/>
      <c r="P60" s="9"/>
      <c r="Q60" s="9"/>
      <c r="R60" s="9"/>
      <c r="S60" s="9"/>
      <c r="T60" s="9"/>
    </row>
    <row r="61" spans="1:20" s="10" customFormat="1" x14ac:dyDescent="0.2">
      <c r="B61" s="202"/>
      <c r="C61" s="202"/>
      <c r="E61" s="9"/>
      <c r="F61" s="9"/>
      <c r="G61" s="9"/>
      <c r="H61" s="9"/>
      <c r="I61" s="9"/>
      <c r="J61" s="9"/>
      <c r="K61" s="9"/>
      <c r="L61" s="9"/>
      <c r="M61" s="9"/>
      <c r="N61" s="9"/>
      <c r="O61" s="9"/>
      <c r="P61" s="9"/>
      <c r="Q61" s="9"/>
      <c r="R61" s="9"/>
      <c r="S61" s="9"/>
      <c r="T61" s="9"/>
    </row>
    <row r="62" spans="1:20" s="10" customFormat="1" x14ac:dyDescent="0.2">
      <c r="B62" s="202"/>
      <c r="C62" s="202"/>
      <c r="E62" s="9"/>
      <c r="F62" s="9"/>
      <c r="G62" s="9"/>
      <c r="H62" s="9"/>
      <c r="I62" s="9"/>
      <c r="J62" s="9"/>
      <c r="K62" s="9"/>
      <c r="L62" s="9"/>
      <c r="M62" s="9"/>
      <c r="N62" s="9"/>
      <c r="O62" s="9"/>
      <c r="P62" s="9"/>
      <c r="Q62" s="9"/>
      <c r="R62" s="9"/>
      <c r="S62" s="9"/>
      <c r="T62" s="9"/>
    </row>
    <row r="63" spans="1:20" s="10" customFormat="1" x14ac:dyDescent="0.2">
      <c r="B63" s="202"/>
      <c r="C63" s="202"/>
      <c r="E63" s="9"/>
      <c r="F63" s="9"/>
      <c r="G63" s="9"/>
      <c r="H63" s="9"/>
      <c r="I63" s="9"/>
      <c r="J63" s="9"/>
      <c r="K63" s="9"/>
      <c r="L63" s="9"/>
      <c r="M63" s="9"/>
      <c r="N63" s="9"/>
      <c r="O63" s="9"/>
      <c r="P63" s="9"/>
      <c r="Q63" s="9"/>
      <c r="R63" s="9"/>
      <c r="S63" s="9"/>
      <c r="T63" s="9"/>
    </row>
    <row r="64" spans="1:20" s="10" customFormat="1" x14ac:dyDescent="0.2">
      <c r="B64" s="202"/>
      <c r="C64" s="202"/>
      <c r="E64" s="9"/>
      <c r="F64" s="9"/>
      <c r="G64" s="9"/>
      <c r="H64" s="9"/>
      <c r="I64" s="9"/>
      <c r="J64" s="9"/>
      <c r="K64" s="9"/>
      <c r="L64" s="9"/>
      <c r="M64" s="9"/>
      <c r="N64" s="9"/>
      <c r="O64" s="9"/>
      <c r="P64" s="9"/>
      <c r="Q64" s="9"/>
      <c r="R64" s="9"/>
      <c r="S64" s="9"/>
      <c r="T64" s="9"/>
    </row>
    <row r="65" spans="2:20" s="10" customFormat="1" x14ac:dyDescent="0.2">
      <c r="B65" s="202"/>
      <c r="C65" s="202"/>
      <c r="E65" s="9"/>
      <c r="F65" s="9"/>
      <c r="G65" s="9"/>
      <c r="H65" s="9"/>
      <c r="I65" s="9"/>
      <c r="J65" s="9"/>
      <c r="K65" s="9"/>
      <c r="L65" s="9"/>
      <c r="M65" s="9"/>
      <c r="N65" s="9"/>
      <c r="O65" s="9"/>
      <c r="P65" s="9"/>
      <c r="Q65" s="9"/>
      <c r="R65" s="9"/>
      <c r="S65" s="9"/>
      <c r="T65" s="9"/>
    </row>
    <row r="66" spans="2:20" s="10" customFormat="1" x14ac:dyDescent="0.2">
      <c r="B66" s="202"/>
      <c r="C66" s="202"/>
      <c r="E66" s="9"/>
      <c r="F66" s="9"/>
      <c r="G66" s="9"/>
      <c r="H66" s="9"/>
      <c r="I66" s="9"/>
      <c r="J66" s="9"/>
      <c r="K66" s="9"/>
      <c r="L66" s="9"/>
      <c r="M66" s="9"/>
      <c r="N66" s="9"/>
      <c r="O66" s="9"/>
      <c r="P66" s="9"/>
      <c r="Q66" s="9"/>
      <c r="R66" s="9"/>
      <c r="S66" s="9"/>
      <c r="T66" s="9"/>
    </row>
    <row r="67" spans="2:20" s="10" customFormat="1" x14ac:dyDescent="0.2">
      <c r="B67" s="202"/>
      <c r="C67" s="202"/>
      <c r="E67" s="9"/>
      <c r="F67" s="9"/>
      <c r="G67" s="9"/>
      <c r="H67" s="9"/>
      <c r="I67" s="9"/>
      <c r="J67" s="9"/>
      <c r="K67" s="9"/>
      <c r="L67" s="9"/>
      <c r="M67" s="9"/>
      <c r="N67" s="9"/>
      <c r="O67" s="9"/>
      <c r="P67" s="9"/>
      <c r="Q67" s="9"/>
      <c r="R67" s="9"/>
      <c r="S67" s="9"/>
      <c r="T67" s="9"/>
    </row>
    <row r="68" spans="2:20" s="10" customFormat="1" x14ac:dyDescent="0.2">
      <c r="B68" s="202"/>
      <c r="C68" s="202"/>
      <c r="E68" s="9"/>
      <c r="F68" s="9"/>
      <c r="G68" s="9"/>
      <c r="H68" s="9"/>
      <c r="I68" s="9"/>
      <c r="J68" s="9"/>
      <c r="K68" s="9"/>
      <c r="L68" s="9"/>
      <c r="M68" s="9"/>
      <c r="N68" s="9"/>
      <c r="O68" s="9"/>
      <c r="P68" s="9"/>
      <c r="Q68" s="9"/>
      <c r="R68" s="9"/>
      <c r="S68" s="9"/>
      <c r="T68" s="9"/>
    </row>
    <row r="69" spans="2:20" s="10" customFormat="1" x14ac:dyDescent="0.2">
      <c r="B69" s="202"/>
      <c r="C69" s="202"/>
      <c r="E69" s="9"/>
      <c r="F69" s="9"/>
      <c r="G69" s="9"/>
      <c r="H69" s="9"/>
      <c r="I69" s="9"/>
      <c r="J69" s="9"/>
      <c r="K69" s="9"/>
      <c r="L69" s="9"/>
      <c r="M69" s="9"/>
      <c r="N69" s="9"/>
      <c r="O69" s="9"/>
      <c r="P69" s="9"/>
      <c r="Q69" s="9"/>
      <c r="R69" s="9"/>
      <c r="S69" s="9"/>
      <c r="T69" s="9"/>
    </row>
    <row r="70" spans="2:20" s="10" customFormat="1" x14ac:dyDescent="0.2">
      <c r="B70" s="202"/>
      <c r="C70" s="202"/>
      <c r="E70" s="9"/>
      <c r="F70" s="9"/>
      <c r="G70" s="9"/>
      <c r="H70" s="9"/>
      <c r="I70" s="9"/>
      <c r="J70" s="9"/>
      <c r="K70" s="9"/>
      <c r="L70" s="9"/>
      <c r="M70" s="9"/>
      <c r="N70" s="9"/>
      <c r="O70" s="9"/>
      <c r="P70" s="9"/>
      <c r="Q70" s="9"/>
      <c r="R70" s="9"/>
      <c r="S70" s="9"/>
      <c r="T70" s="9"/>
    </row>
    <row r="71" spans="2:20" s="10" customFormat="1" x14ac:dyDescent="0.2">
      <c r="B71" s="202"/>
      <c r="C71" s="202"/>
      <c r="E71" s="9"/>
      <c r="F71" s="9"/>
      <c r="G71" s="9"/>
      <c r="H71" s="9"/>
      <c r="I71" s="9"/>
      <c r="J71" s="9"/>
      <c r="K71" s="9"/>
      <c r="L71" s="9"/>
      <c r="M71" s="9"/>
      <c r="N71" s="9"/>
      <c r="O71" s="9"/>
      <c r="P71" s="9"/>
      <c r="Q71" s="9"/>
      <c r="R71" s="9"/>
      <c r="S71" s="9"/>
      <c r="T71" s="9"/>
    </row>
    <row r="72" spans="2:20" s="10" customFormat="1" x14ac:dyDescent="0.2">
      <c r="B72" s="202"/>
      <c r="C72" s="202"/>
      <c r="E72" s="9"/>
      <c r="F72" s="9"/>
      <c r="G72" s="9"/>
      <c r="H72" s="9"/>
      <c r="I72" s="9"/>
      <c r="J72" s="9"/>
      <c r="K72" s="9"/>
      <c r="L72" s="9"/>
      <c r="M72" s="9"/>
      <c r="N72" s="9"/>
      <c r="O72" s="9"/>
      <c r="P72" s="9"/>
      <c r="Q72" s="9"/>
      <c r="R72" s="9"/>
      <c r="S72" s="9"/>
      <c r="T72" s="9"/>
    </row>
    <row r="73" spans="2:20" s="10" customFormat="1" x14ac:dyDescent="0.2">
      <c r="B73" s="202"/>
      <c r="C73" s="202"/>
      <c r="E73" s="9"/>
      <c r="F73" s="9"/>
      <c r="G73" s="9"/>
      <c r="H73" s="9"/>
      <c r="I73" s="9"/>
      <c r="J73" s="9"/>
      <c r="K73" s="9"/>
      <c r="L73" s="9"/>
      <c r="M73" s="9"/>
      <c r="N73" s="9"/>
      <c r="O73" s="9"/>
      <c r="P73" s="9"/>
      <c r="Q73" s="9"/>
      <c r="R73" s="9"/>
      <c r="S73" s="9"/>
      <c r="T73" s="9"/>
    </row>
    <row r="74" spans="2:20" s="10" customFormat="1" x14ac:dyDescent="0.2">
      <c r="B74" s="202"/>
      <c r="C74" s="202"/>
      <c r="E74" s="9"/>
      <c r="F74" s="9"/>
      <c r="G74" s="9"/>
      <c r="H74" s="9"/>
      <c r="I74" s="9"/>
      <c r="J74" s="9"/>
      <c r="K74" s="9"/>
      <c r="L74" s="9"/>
      <c r="M74" s="9"/>
      <c r="N74" s="9"/>
      <c r="O74" s="9"/>
      <c r="P74" s="9"/>
      <c r="Q74" s="9"/>
      <c r="R74" s="9"/>
      <c r="S74" s="9"/>
      <c r="T74" s="9"/>
    </row>
    <row r="75" spans="2:20" s="10" customFormat="1" ht="15.75" x14ac:dyDescent="0.2">
      <c r="B75" s="207" t="s">
        <v>54</v>
      </c>
      <c r="C75" s="22"/>
      <c r="E75" s="9"/>
      <c r="F75" s="9"/>
      <c r="G75" s="9"/>
      <c r="H75" s="9"/>
      <c r="I75" s="9"/>
      <c r="J75" s="9"/>
      <c r="K75" s="9"/>
      <c r="L75" s="9"/>
      <c r="M75" s="9"/>
      <c r="N75" s="9"/>
      <c r="O75" s="9"/>
      <c r="P75" s="9"/>
      <c r="Q75" s="9"/>
      <c r="R75" s="9"/>
      <c r="S75" s="9"/>
      <c r="T75" s="9"/>
    </row>
    <row r="76" spans="2:20" s="10" customFormat="1" ht="89.1" customHeight="1" x14ac:dyDescent="0.2">
      <c r="B76" s="447" t="s">
        <v>55</v>
      </c>
      <c r="C76" s="447"/>
      <c r="E76" s="9"/>
      <c r="F76" s="9"/>
      <c r="G76" s="9"/>
      <c r="H76" s="9"/>
      <c r="I76" s="9"/>
      <c r="J76" s="9"/>
      <c r="K76" s="9"/>
      <c r="L76" s="9"/>
      <c r="M76" s="9"/>
      <c r="N76" s="9"/>
      <c r="O76" s="9"/>
      <c r="P76" s="9"/>
      <c r="Q76" s="9"/>
      <c r="R76" s="9"/>
      <c r="S76" s="9"/>
      <c r="T76" s="9"/>
    </row>
    <row r="77" spans="2:20" s="10" customFormat="1" x14ac:dyDescent="0.2">
      <c r="B77" s="202"/>
      <c r="C77" s="202"/>
      <c r="E77" s="9"/>
      <c r="F77" s="9"/>
      <c r="G77" s="9"/>
      <c r="H77" s="9"/>
      <c r="I77" s="9"/>
      <c r="J77" s="9"/>
      <c r="K77" s="9"/>
      <c r="L77" s="9"/>
      <c r="M77" s="9"/>
      <c r="N77" s="9"/>
      <c r="O77" s="9"/>
      <c r="P77" s="9"/>
      <c r="Q77" s="9"/>
      <c r="R77" s="9"/>
      <c r="S77" s="9"/>
      <c r="T77" s="9"/>
    </row>
    <row r="78" spans="2:20" s="10" customFormat="1" x14ac:dyDescent="0.2">
      <c r="B78" s="202"/>
      <c r="C78" s="202"/>
      <c r="E78" s="9"/>
      <c r="F78" s="9"/>
      <c r="G78" s="9"/>
      <c r="H78" s="9"/>
      <c r="I78" s="9"/>
      <c r="J78" s="9"/>
      <c r="K78" s="9"/>
      <c r="L78" s="9"/>
      <c r="M78" s="9"/>
      <c r="N78" s="9"/>
      <c r="O78" s="9"/>
      <c r="P78" s="9"/>
      <c r="Q78" s="9"/>
      <c r="R78" s="9"/>
      <c r="S78" s="9"/>
      <c r="T78" s="9"/>
    </row>
    <row r="79" spans="2:20" s="10" customFormat="1" x14ac:dyDescent="0.2">
      <c r="B79" s="202"/>
      <c r="C79" s="202"/>
      <c r="E79" s="9"/>
      <c r="F79" s="9"/>
      <c r="G79" s="9"/>
      <c r="H79" s="9"/>
      <c r="I79" s="9"/>
      <c r="J79" s="9"/>
      <c r="K79" s="9"/>
      <c r="L79" s="9"/>
      <c r="M79" s="9"/>
      <c r="N79" s="9"/>
      <c r="O79" s="9"/>
      <c r="P79" s="9"/>
      <c r="Q79" s="9"/>
      <c r="R79" s="9"/>
      <c r="S79" s="9"/>
      <c r="T79" s="9"/>
    </row>
    <row r="80" spans="2:20" s="10" customFormat="1" x14ac:dyDescent="0.2">
      <c r="B80" s="202"/>
      <c r="C80" s="202"/>
      <c r="E80" s="9"/>
      <c r="F80" s="9"/>
      <c r="G80" s="9"/>
      <c r="H80" s="9"/>
      <c r="I80" s="9"/>
      <c r="J80" s="9"/>
      <c r="K80" s="9"/>
      <c r="L80" s="9"/>
      <c r="M80" s="9"/>
      <c r="N80" s="9"/>
      <c r="O80" s="9"/>
      <c r="P80" s="9"/>
      <c r="Q80" s="9"/>
      <c r="R80" s="9"/>
      <c r="S80" s="9"/>
      <c r="T80" s="9"/>
    </row>
    <row r="81" spans="2:20" s="10" customFormat="1" x14ac:dyDescent="0.2">
      <c r="B81" s="202"/>
      <c r="C81" s="202"/>
      <c r="E81" s="9"/>
      <c r="F81" s="9"/>
      <c r="G81" s="9"/>
      <c r="H81" s="9"/>
      <c r="I81" s="9"/>
      <c r="J81" s="9"/>
      <c r="K81" s="9"/>
      <c r="L81" s="9"/>
      <c r="M81" s="9"/>
      <c r="N81" s="9"/>
      <c r="O81" s="9"/>
      <c r="P81" s="9"/>
      <c r="Q81" s="9"/>
      <c r="R81" s="9"/>
      <c r="S81" s="9"/>
      <c r="T81" s="9"/>
    </row>
    <row r="82" spans="2:20" s="10" customFormat="1" hidden="1" x14ac:dyDescent="0.2">
      <c r="B82" s="202"/>
      <c r="C82" s="202"/>
      <c r="E82" s="9"/>
      <c r="F82" s="9"/>
      <c r="G82" s="9"/>
      <c r="H82" s="9"/>
      <c r="I82" s="9"/>
      <c r="J82" s="9"/>
      <c r="K82" s="9"/>
      <c r="L82" s="9"/>
      <c r="M82" s="9"/>
      <c r="N82" s="9"/>
      <c r="O82" s="9"/>
      <c r="P82" s="9"/>
      <c r="Q82" s="9"/>
      <c r="R82" s="9"/>
      <c r="S82" s="9"/>
      <c r="T82" s="9"/>
    </row>
    <row r="83" spans="2:20" s="10" customFormat="1" hidden="1" x14ac:dyDescent="0.2">
      <c r="B83" s="202"/>
      <c r="C83" s="202"/>
      <c r="E83" s="9"/>
      <c r="F83" s="9"/>
      <c r="G83" s="9"/>
      <c r="H83" s="9"/>
      <c r="I83" s="9"/>
      <c r="J83" s="9"/>
      <c r="K83" s="9"/>
      <c r="L83" s="9"/>
      <c r="M83" s="9"/>
      <c r="N83" s="9"/>
      <c r="O83" s="9"/>
      <c r="P83" s="9"/>
      <c r="Q83" s="9"/>
      <c r="R83" s="9"/>
      <c r="S83" s="9"/>
      <c r="T83" s="9"/>
    </row>
    <row r="84" spans="2:20" s="10" customFormat="1" hidden="1" x14ac:dyDescent="0.2">
      <c r="B84" s="202"/>
      <c r="C84" s="202"/>
      <c r="E84" s="9"/>
      <c r="F84" s="9"/>
      <c r="G84" s="9"/>
      <c r="H84" s="9"/>
      <c r="I84" s="9"/>
      <c r="J84" s="9"/>
      <c r="K84" s="9"/>
      <c r="L84" s="9"/>
      <c r="M84" s="9"/>
      <c r="N84" s="9"/>
      <c r="O84" s="9"/>
      <c r="P84" s="9"/>
      <c r="Q84" s="9"/>
      <c r="R84" s="9"/>
      <c r="S84" s="9"/>
      <c r="T84" s="9"/>
    </row>
    <row r="85" spans="2:20" s="10" customFormat="1" hidden="1" x14ac:dyDescent="0.2">
      <c r="B85" s="202"/>
      <c r="C85" s="202"/>
      <c r="E85" s="9"/>
      <c r="F85" s="9"/>
      <c r="G85" s="9"/>
      <c r="H85" s="9"/>
      <c r="I85" s="9"/>
      <c r="J85" s="9"/>
      <c r="K85" s="9"/>
      <c r="L85" s="9"/>
      <c r="M85" s="9"/>
      <c r="N85" s="9"/>
      <c r="O85" s="9"/>
      <c r="P85" s="9"/>
      <c r="Q85" s="9"/>
      <c r="R85" s="9"/>
      <c r="S85" s="9"/>
      <c r="T85" s="9"/>
    </row>
    <row r="86" spans="2:20" s="10" customFormat="1" ht="15.75" x14ac:dyDescent="0.2">
      <c r="B86" s="207" t="s">
        <v>56</v>
      </c>
      <c r="C86" s="22"/>
      <c r="E86" s="9"/>
      <c r="F86" s="9"/>
      <c r="G86" s="9"/>
      <c r="H86" s="9"/>
      <c r="I86" s="9"/>
      <c r="J86" s="9"/>
      <c r="K86" s="9"/>
      <c r="L86" s="9"/>
      <c r="M86" s="9"/>
      <c r="N86" s="9"/>
      <c r="O86" s="9"/>
      <c r="P86" s="9"/>
      <c r="Q86" s="9"/>
      <c r="R86" s="9"/>
      <c r="S86" s="9"/>
      <c r="T86" s="9"/>
    </row>
    <row r="87" spans="2:20" s="10" customFormat="1" ht="114.6" customHeight="1" x14ac:dyDescent="0.2">
      <c r="B87" s="447" t="s">
        <v>57</v>
      </c>
      <c r="C87" s="447"/>
      <c r="E87" s="9"/>
      <c r="F87" s="9"/>
      <c r="G87" s="9"/>
      <c r="H87" s="9"/>
      <c r="I87" s="9"/>
      <c r="J87" s="9"/>
      <c r="K87" s="9"/>
      <c r="L87" s="9"/>
      <c r="M87" s="9"/>
      <c r="N87" s="9"/>
      <c r="O87" s="9"/>
      <c r="P87" s="9"/>
      <c r="Q87" s="9"/>
      <c r="R87" s="9"/>
      <c r="S87" s="9"/>
      <c r="T87" s="9"/>
    </row>
    <row r="88" spans="2:20" s="10" customFormat="1" ht="33.6" customHeight="1" x14ac:dyDescent="0.2">
      <c r="B88" s="207" t="s">
        <v>58</v>
      </c>
      <c r="C88" s="22"/>
      <c r="E88" s="9"/>
      <c r="F88" s="9"/>
      <c r="G88" s="9"/>
      <c r="H88" s="9"/>
      <c r="I88" s="9"/>
      <c r="J88" s="9"/>
      <c r="K88" s="9"/>
      <c r="L88" s="9"/>
      <c r="M88" s="9"/>
      <c r="N88" s="9"/>
      <c r="O88" s="9"/>
      <c r="P88" s="9"/>
      <c r="Q88" s="9"/>
      <c r="R88" s="9"/>
      <c r="S88" s="9"/>
      <c r="T88" s="9"/>
    </row>
    <row r="89" spans="2:20" s="10" customFormat="1" hidden="1" x14ac:dyDescent="0.2">
      <c r="B89" s="202" t="s">
        <v>59</v>
      </c>
      <c r="C89" s="202"/>
      <c r="E89" s="9"/>
      <c r="F89" s="9"/>
      <c r="G89" s="9"/>
      <c r="H89" s="9"/>
      <c r="I89" s="9"/>
      <c r="J89" s="9"/>
      <c r="K89" s="9"/>
      <c r="L89" s="9"/>
      <c r="M89" s="9"/>
      <c r="N89" s="9"/>
      <c r="O89" s="9"/>
      <c r="P89" s="9"/>
      <c r="Q89" s="9"/>
      <c r="R89" s="9"/>
      <c r="S89" s="9"/>
      <c r="T89" s="9"/>
    </row>
    <row r="90" spans="2:20" s="10" customFormat="1" x14ac:dyDescent="0.2">
      <c r="B90" s="202"/>
      <c r="C90" s="202"/>
      <c r="E90" s="9"/>
      <c r="F90" s="9"/>
      <c r="G90" s="9"/>
      <c r="H90" s="9"/>
      <c r="I90" s="9"/>
      <c r="J90" s="9"/>
      <c r="K90" s="9"/>
      <c r="L90" s="9"/>
      <c r="M90" s="9"/>
      <c r="N90" s="9"/>
      <c r="O90" s="9"/>
      <c r="P90" s="9"/>
      <c r="Q90" s="9"/>
      <c r="R90" s="9"/>
      <c r="S90" s="9"/>
      <c r="T90" s="9"/>
    </row>
    <row r="91" spans="2:20" s="10" customFormat="1" x14ac:dyDescent="0.2">
      <c r="B91" s="202"/>
      <c r="C91" s="202"/>
      <c r="E91" s="9"/>
      <c r="F91" s="9"/>
      <c r="G91" s="9"/>
      <c r="H91" s="9"/>
      <c r="I91" s="9"/>
      <c r="J91" s="9"/>
      <c r="K91" s="9"/>
      <c r="L91" s="9"/>
      <c r="M91" s="9"/>
      <c r="N91" s="9"/>
      <c r="O91" s="9"/>
      <c r="P91" s="9"/>
      <c r="Q91" s="9"/>
      <c r="R91" s="9"/>
      <c r="S91" s="9"/>
      <c r="T91" s="9"/>
    </row>
    <row r="92" spans="2:20" s="10" customFormat="1" x14ac:dyDescent="0.2">
      <c r="B92" s="202"/>
      <c r="C92" s="202"/>
      <c r="E92" s="9"/>
      <c r="F92" s="9"/>
      <c r="G92" s="9"/>
      <c r="H92" s="9"/>
      <c r="I92" s="9"/>
      <c r="J92" s="9"/>
      <c r="K92" s="9"/>
      <c r="L92" s="9"/>
      <c r="M92" s="9"/>
      <c r="N92" s="9"/>
      <c r="O92" s="9"/>
      <c r="P92" s="9"/>
      <c r="Q92" s="9"/>
      <c r="R92" s="9"/>
      <c r="S92" s="9"/>
      <c r="T92" s="9"/>
    </row>
    <row r="93" spans="2:20" s="10" customFormat="1" x14ac:dyDescent="0.2">
      <c r="B93" s="202"/>
      <c r="C93" s="202"/>
      <c r="E93" s="9"/>
      <c r="F93" s="9"/>
      <c r="G93" s="9"/>
      <c r="H93" s="9"/>
      <c r="I93" s="9"/>
      <c r="J93" s="9"/>
      <c r="K93" s="9"/>
      <c r="L93" s="9"/>
      <c r="M93" s="9"/>
      <c r="N93" s="9"/>
      <c r="O93" s="9"/>
      <c r="P93" s="9"/>
      <c r="Q93" s="9"/>
      <c r="R93" s="9"/>
      <c r="S93" s="9"/>
      <c r="T93" s="9"/>
    </row>
    <row r="94" spans="2:20" s="10" customFormat="1" x14ac:dyDescent="0.2">
      <c r="B94" s="202"/>
      <c r="C94" s="202"/>
      <c r="E94" s="9"/>
      <c r="F94" s="9"/>
      <c r="G94" s="9"/>
      <c r="H94" s="9"/>
      <c r="I94" s="9"/>
      <c r="J94" s="9"/>
      <c r="K94" s="9"/>
      <c r="L94" s="9"/>
      <c r="M94" s="9"/>
      <c r="N94" s="9"/>
      <c r="O94" s="9"/>
      <c r="P94" s="9"/>
      <c r="Q94" s="9"/>
      <c r="R94" s="9"/>
      <c r="S94" s="9"/>
      <c r="T94" s="9"/>
    </row>
    <row r="95" spans="2:20" s="10" customFormat="1" x14ac:dyDescent="0.2">
      <c r="B95" s="202"/>
      <c r="C95" s="202"/>
      <c r="E95" s="9"/>
      <c r="F95" s="9"/>
      <c r="G95" s="9"/>
      <c r="H95" s="9"/>
      <c r="I95" s="9"/>
      <c r="J95" s="9"/>
      <c r="K95" s="9"/>
      <c r="L95" s="9"/>
      <c r="M95" s="9"/>
      <c r="N95" s="9"/>
      <c r="O95" s="9"/>
      <c r="P95" s="9"/>
      <c r="Q95" s="9"/>
      <c r="R95" s="9"/>
      <c r="S95" s="9"/>
      <c r="T95" s="9"/>
    </row>
    <row r="96" spans="2:20" s="10" customFormat="1" x14ac:dyDescent="0.2">
      <c r="B96" s="202"/>
      <c r="C96" s="202"/>
      <c r="E96" s="9"/>
      <c r="F96" s="9"/>
      <c r="G96" s="9"/>
      <c r="H96" s="9"/>
      <c r="I96" s="9"/>
      <c r="J96" s="9"/>
      <c r="K96" s="9"/>
      <c r="L96" s="9"/>
      <c r="M96" s="9"/>
      <c r="N96" s="9"/>
      <c r="O96" s="9"/>
      <c r="P96" s="9"/>
      <c r="Q96" s="9"/>
      <c r="R96" s="9"/>
      <c r="S96" s="9"/>
      <c r="T96" s="9"/>
    </row>
    <row r="97" spans="2:20" s="10" customFormat="1" x14ac:dyDescent="0.2">
      <c r="B97" s="202"/>
      <c r="C97" s="202"/>
      <c r="E97" s="9"/>
      <c r="F97" s="9"/>
      <c r="G97" s="9"/>
      <c r="H97" s="9"/>
      <c r="I97" s="9"/>
      <c r="J97" s="9"/>
      <c r="K97" s="9"/>
      <c r="L97" s="9"/>
      <c r="M97" s="9"/>
      <c r="N97" s="9"/>
      <c r="O97" s="9"/>
      <c r="P97" s="9"/>
      <c r="Q97" s="9"/>
      <c r="R97" s="9"/>
      <c r="S97" s="9"/>
      <c r="T97" s="9"/>
    </row>
    <row r="98" spans="2:20" s="10" customFormat="1" x14ac:dyDescent="0.2">
      <c r="B98" s="202"/>
      <c r="C98" s="202"/>
      <c r="E98" s="9"/>
      <c r="F98" s="9"/>
      <c r="G98" s="9"/>
      <c r="H98" s="9"/>
      <c r="I98" s="9"/>
      <c r="J98" s="9"/>
      <c r="K98" s="9"/>
      <c r="L98" s="9"/>
      <c r="M98" s="9"/>
      <c r="N98" s="9"/>
      <c r="O98" s="9"/>
      <c r="P98" s="9"/>
      <c r="Q98" s="9"/>
      <c r="R98" s="9"/>
      <c r="S98" s="9"/>
      <c r="T98" s="9"/>
    </row>
    <row r="99" spans="2:20" s="10" customFormat="1" x14ac:dyDescent="0.2">
      <c r="B99" s="202"/>
      <c r="C99" s="202"/>
      <c r="E99" s="9"/>
      <c r="F99" s="9"/>
      <c r="G99" s="9"/>
      <c r="H99" s="9"/>
      <c r="I99" s="9"/>
      <c r="J99" s="9"/>
      <c r="K99" s="9"/>
      <c r="L99" s="9"/>
      <c r="M99" s="9"/>
      <c r="N99" s="9"/>
      <c r="O99" s="9"/>
      <c r="P99" s="9"/>
      <c r="Q99" s="9"/>
      <c r="R99" s="9"/>
      <c r="S99" s="9"/>
      <c r="T99" s="9"/>
    </row>
    <row r="100" spans="2:20" s="10" customFormat="1" x14ac:dyDescent="0.2">
      <c r="B100" s="202"/>
      <c r="C100" s="202"/>
      <c r="E100" s="9"/>
      <c r="F100" s="9"/>
      <c r="G100" s="9"/>
      <c r="H100" s="9"/>
      <c r="I100" s="9"/>
      <c r="J100" s="9"/>
      <c r="K100" s="9"/>
      <c r="L100" s="9"/>
      <c r="M100" s="9"/>
      <c r="N100" s="9"/>
      <c r="O100" s="9"/>
      <c r="P100" s="9"/>
      <c r="Q100" s="9"/>
      <c r="R100" s="9"/>
      <c r="S100" s="9"/>
      <c r="T100" s="9"/>
    </row>
    <row r="101" spans="2:20" s="10" customFormat="1" x14ac:dyDescent="0.2">
      <c r="B101" s="202" t="s">
        <v>60</v>
      </c>
      <c r="C101" s="202"/>
      <c r="E101" s="9"/>
      <c r="F101" s="9"/>
      <c r="G101" s="9"/>
      <c r="H101" s="9"/>
      <c r="I101" s="9"/>
      <c r="J101" s="9"/>
      <c r="K101" s="9"/>
      <c r="L101" s="9"/>
      <c r="M101" s="9"/>
      <c r="N101" s="9"/>
      <c r="O101" s="9"/>
      <c r="P101" s="9"/>
      <c r="Q101" s="9"/>
      <c r="R101" s="9"/>
      <c r="S101" s="9"/>
      <c r="T101" s="9"/>
    </row>
    <row r="102" spans="2:20" s="10" customFormat="1" x14ac:dyDescent="0.2">
      <c r="B102" s="202"/>
      <c r="C102" s="202"/>
      <c r="E102" s="9"/>
      <c r="F102" s="9"/>
      <c r="G102" s="9"/>
      <c r="H102" s="9"/>
      <c r="I102" s="9"/>
      <c r="J102" s="9"/>
      <c r="K102" s="9"/>
      <c r="L102" s="9"/>
      <c r="M102" s="9"/>
      <c r="N102" s="9"/>
      <c r="O102" s="9"/>
      <c r="P102" s="9"/>
      <c r="Q102" s="9"/>
      <c r="R102" s="9"/>
      <c r="S102" s="9"/>
      <c r="T102" s="9"/>
    </row>
    <row r="103" spans="2:20" s="10" customFormat="1" x14ac:dyDescent="0.2">
      <c r="B103" s="202" t="s">
        <v>61</v>
      </c>
      <c r="C103" s="202"/>
      <c r="E103" s="9"/>
      <c r="F103" s="9"/>
      <c r="G103" s="9"/>
      <c r="H103" s="9"/>
      <c r="I103" s="9"/>
      <c r="J103" s="9"/>
      <c r="K103" s="9"/>
      <c r="L103" s="9"/>
      <c r="M103" s="9"/>
      <c r="N103" s="9"/>
      <c r="O103" s="9"/>
      <c r="P103" s="9"/>
      <c r="Q103" s="9"/>
      <c r="R103" s="9"/>
      <c r="S103" s="9"/>
      <c r="T103" s="9"/>
    </row>
    <row r="104" spans="2:20" s="10" customFormat="1" x14ac:dyDescent="0.2">
      <c r="B104" s="202"/>
      <c r="C104" s="202"/>
      <c r="E104" s="9"/>
      <c r="F104" s="9"/>
      <c r="G104" s="9"/>
      <c r="H104" s="9"/>
      <c r="I104" s="9"/>
      <c r="J104" s="9"/>
      <c r="K104" s="9"/>
      <c r="L104" s="9"/>
      <c r="M104" s="9"/>
      <c r="N104" s="9"/>
      <c r="O104" s="9"/>
      <c r="P104" s="9"/>
      <c r="Q104" s="9"/>
      <c r="R104" s="9"/>
      <c r="S104" s="9"/>
      <c r="T104" s="9"/>
    </row>
    <row r="105" spans="2:20" s="10" customFormat="1" x14ac:dyDescent="0.2">
      <c r="B105" s="3"/>
      <c r="C105" s="3"/>
      <c r="E105" s="9"/>
      <c r="F105" s="9"/>
      <c r="G105" s="9"/>
      <c r="H105" s="9"/>
      <c r="I105" s="9"/>
      <c r="J105" s="9"/>
      <c r="K105" s="9"/>
      <c r="L105" s="9"/>
      <c r="M105" s="9"/>
      <c r="N105" s="9"/>
      <c r="O105" s="9"/>
      <c r="P105" s="9"/>
      <c r="Q105" s="9"/>
      <c r="R105" s="9"/>
      <c r="S105" s="9"/>
      <c r="T105" s="9"/>
    </row>
    <row r="106" spans="2:20" s="10" customFormat="1" hidden="1" x14ac:dyDescent="0.2">
      <c r="B106" s="340"/>
      <c r="C106" s="340"/>
      <c r="E106" s="9"/>
      <c r="F106" s="9"/>
      <c r="G106" s="9"/>
      <c r="H106" s="9"/>
      <c r="I106" s="9"/>
      <c r="J106" s="9"/>
      <c r="K106" s="9"/>
      <c r="L106" s="9"/>
      <c r="M106" s="9"/>
      <c r="N106" s="9"/>
      <c r="O106" s="9"/>
      <c r="P106" s="9"/>
      <c r="Q106" s="9"/>
      <c r="R106" s="9"/>
      <c r="S106" s="9"/>
      <c r="T106" s="9"/>
    </row>
    <row r="107" spans="2:20" s="10" customFormat="1" hidden="1" x14ac:dyDescent="0.2">
      <c r="B107" s="340"/>
      <c r="C107" s="340"/>
      <c r="E107" s="9"/>
      <c r="F107" s="9"/>
      <c r="G107" s="9"/>
      <c r="H107" s="9"/>
      <c r="I107" s="9"/>
      <c r="J107" s="9"/>
      <c r="K107" s="9"/>
      <c r="L107" s="9"/>
      <c r="M107" s="9"/>
      <c r="N107" s="9"/>
      <c r="O107" s="9"/>
      <c r="P107" s="9"/>
      <c r="Q107" s="9"/>
      <c r="R107" s="9"/>
      <c r="S107" s="9"/>
      <c r="T107" s="9"/>
    </row>
    <row r="108" spans="2:20" s="10" customFormat="1" hidden="1" x14ac:dyDescent="0.2">
      <c r="B108" s="340"/>
      <c r="C108" s="340"/>
      <c r="E108" s="9"/>
      <c r="F108" s="9"/>
      <c r="G108" s="9"/>
      <c r="H108" s="9"/>
      <c r="I108" s="9"/>
      <c r="J108" s="9"/>
      <c r="K108" s="9"/>
      <c r="L108" s="9"/>
      <c r="M108" s="9"/>
      <c r="N108" s="9"/>
      <c r="O108" s="9"/>
      <c r="P108" s="9"/>
      <c r="Q108" s="9"/>
      <c r="R108" s="9"/>
      <c r="S108" s="9"/>
      <c r="T108" s="9"/>
    </row>
    <row r="109" spans="2:20" s="10" customFormat="1" hidden="1" x14ac:dyDescent="0.2">
      <c r="B109" s="340"/>
      <c r="C109" s="340"/>
      <c r="E109" s="9"/>
      <c r="F109" s="9"/>
      <c r="G109" s="9"/>
      <c r="H109" s="9"/>
      <c r="I109" s="9"/>
      <c r="J109" s="9"/>
      <c r="K109" s="9"/>
      <c r="L109" s="9"/>
      <c r="M109" s="9"/>
      <c r="N109" s="9"/>
      <c r="O109" s="9"/>
      <c r="P109" s="9"/>
      <c r="Q109" s="9"/>
      <c r="R109" s="9"/>
      <c r="S109" s="9"/>
      <c r="T109" s="9"/>
    </row>
    <row r="110" spans="2:20" s="10" customFormat="1" hidden="1" x14ac:dyDescent="0.2">
      <c r="B110" s="340"/>
      <c r="C110" s="340"/>
      <c r="E110" s="9"/>
      <c r="F110" s="9"/>
      <c r="G110" s="9"/>
      <c r="H110" s="9"/>
      <c r="I110" s="9"/>
      <c r="J110" s="9"/>
      <c r="K110" s="9"/>
      <c r="L110" s="9"/>
      <c r="M110" s="9"/>
      <c r="N110" s="9"/>
      <c r="O110" s="9"/>
      <c r="P110" s="9"/>
      <c r="Q110" s="9"/>
      <c r="R110" s="9"/>
      <c r="S110" s="9"/>
      <c r="T110" s="9"/>
    </row>
    <row r="111" spans="2:20" s="10" customFormat="1" hidden="1" x14ac:dyDescent="0.2">
      <c r="B111" s="340"/>
      <c r="C111" s="340"/>
      <c r="E111" s="9"/>
      <c r="F111" s="9"/>
      <c r="G111" s="9"/>
      <c r="H111" s="9"/>
      <c r="I111" s="9"/>
      <c r="J111" s="9"/>
      <c r="K111" s="9"/>
      <c r="L111" s="9"/>
      <c r="M111" s="9"/>
      <c r="N111" s="9"/>
      <c r="O111" s="9"/>
      <c r="P111" s="9"/>
      <c r="Q111" s="9"/>
      <c r="R111" s="9"/>
      <c r="S111" s="9"/>
      <c r="T111" s="9"/>
    </row>
    <row r="112" spans="2:20" s="10" customFormat="1" hidden="1" x14ac:dyDescent="0.2">
      <c r="B112" s="340"/>
      <c r="C112" s="340"/>
      <c r="E112" s="9"/>
      <c r="F112" s="9"/>
      <c r="G112" s="9"/>
      <c r="H112" s="9"/>
      <c r="I112" s="9"/>
      <c r="J112" s="9"/>
      <c r="K112" s="9"/>
      <c r="L112" s="9"/>
      <c r="M112" s="9"/>
      <c r="N112" s="9"/>
      <c r="O112" s="9"/>
      <c r="P112" s="9"/>
      <c r="Q112" s="9"/>
      <c r="R112" s="9"/>
      <c r="S112" s="9"/>
      <c r="T112" s="9"/>
    </row>
    <row r="113" spans="2:20" s="10" customFormat="1" hidden="1" x14ac:dyDescent="0.2">
      <c r="B113" s="340"/>
      <c r="C113" s="340"/>
      <c r="E113" s="9"/>
      <c r="F113" s="9"/>
      <c r="G113" s="9"/>
      <c r="H113" s="9"/>
      <c r="I113" s="9"/>
      <c r="J113" s="9"/>
      <c r="K113" s="9"/>
      <c r="L113" s="9"/>
      <c r="M113" s="9"/>
      <c r="N113" s="9"/>
      <c r="O113" s="9"/>
      <c r="P113" s="9"/>
      <c r="Q113" s="9"/>
      <c r="R113" s="9"/>
      <c r="S113" s="9"/>
      <c r="T113" s="9"/>
    </row>
    <row r="114" spans="2:20" s="10" customFormat="1" hidden="1" x14ac:dyDescent="0.2">
      <c r="B114" s="340"/>
      <c r="C114" s="340"/>
      <c r="E114" s="9"/>
      <c r="F114" s="9"/>
      <c r="G114" s="9"/>
      <c r="H114" s="9"/>
      <c r="I114" s="9"/>
      <c r="J114" s="9"/>
      <c r="K114" s="9"/>
      <c r="L114" s="9"/>
      <c r="M114" s="9"/>
      <c r="N114" s="9"/>
      <c r="O114" s="9"/>
      <c r="P114" s="9"/>
      <c r="Q114" s="9"/>
      <c r="R114" s="9"/>
      <c r="S114" s="9"/>
      <c r="T114" s="9"/>
    </row>
    <row r="115" spans="2:20" s="10" customFormat="1" hidden="1" x14ac:dyDescent="0.2">
      <c r="B115" s="340"/>
      <c r="C115" s="340"/>
      <c r="E115" s="9"/>
      <c r="F115" s="9"/>
      <c r="G115" s="9"/>
      <c r="H115" s="9"/>
      <c r="I115" s="9"/>
      <c r="J115" s="9"/>
      <c r="K115" s="9"/>
      <c r="L115" s="9"/>
      <c r="M115" s="9"/>
      <c r="N115" s="9"/>
      <c r="O115" s="9"/>
      <c r="P115" s="9"/>
      <c r="Q115" s="9"/>
      <c r="R115" s="9"/>
      <c r="S115" s="9"/>
      <c r="T115" s="9"/>
    </row>
    <row r="116" spans="2:20" s="10" customFormat="1" hidden="1" x14ac:dyDescent="0.2">
      <c r="B116" s="340"/>
      <c r="C116" s="340"/>
      <c r="E116" s="9"/>
      <c r="F116" s="9"/>
      <c r="G116" s="9"/>
      <c r="H116" s="9"/>
      <c r="I116" s="9"/>
      <c r="J116" s="9"/>
      <c r="K116" s="9"/>
      <c r="L116" s="9"/>
      <c r="M116" s="9"/>
      <c r="N116" s="9"/>
      <c r="O116" s="9"/>
      <c r="P116" s="9"/>
      <c r="Q116" s="9"/>
      <c r="R116" s="9"/>
      <c r="S116" s="9"/>
      <c r="T116" s="9"/>
    </row>
    <row r="117" spans="2:20" s="10" customFormat="1" hidden="1" x14ac:dyDescent="0.2">
      <c r="B117" s="340"/>
      <c r="C117" s="340"/>
      <c r="E117" s="9"/>
      <c r="F117" s="9"/>
      <c r="G117" s="9"/>
      <c r="H117" s="9"/>
      <c r="I117" s="9"/>
      <c r="J117" s="9"/>
      <c r="K117" s="9"/>
      <c r="L117" s="9"/>
      <c r="M117" s="9"/>
      <c r="N117" s="9"/>
      <c r="O117" s="9"/>
      <c r="P117" s="9"/>
      <c r="Q117" s="9"/>
      <c r="R117" s="9"/>
      <c r="S117" s="9"/>
      <c r="T117" s="9"/>
    </row>
    <row r="118" spans="2:20" s="10" customFormat="1" hidden="1" x14ac:dyDescent="0.2">
      <c r="B118" s="340"/>
      <c r="C118" s="340"/>
      <c r="E118" s="9"/>
      <c r="F118" s="9"/>
      <c r="G118" s="9"/>
      <c r="H118" s="9"/>
      <c r="I118" s="9"/>
      <c r="J118" s="9"/>
      <c r="K118" s="9"/>
      <c r="L118" s="9"/>
      <c r="M118" s="9"/>
      <c r="N118" s="9"/>
      <c r="O118" s="9"/>
      <c r="P118" s="9"/>
      <c r="Q118" s="9"/>
      <c r="R118" s="9"/>
      <c r="S118" s="9"/>
      <c r="T118" s="9"/>
    </row>
    <row r="119" spans="2:20" s="10" customFormat="1" hidden="1" x14ac:dyDescent="0.2">
      <c r="B119" s="340"/>
      <c r="C119" s="340"/>
      <c r="E119" s="9"/>
      <c r="F119" s="9"/>
      <c r="G119" s="9"/>
      <c r="H119" s="9"/>
      <c r="I119" s="9"/>
      <c r="J119" s="9"/>
      <c r="K119" s="9"/>
      <c r="L119" s="9"/>
      <c r="M119" s="9"/>
      <c r="N119" s="9"/>
      <c r="O119" s="9"/>
      <c r="P119" s="9"/>
      <c r="Q119" s="9"/>
      <c r="R119" s="9"/>
      <c r="S119" s="9"/>
      <c r="T119" s="9"/>
    </row>
    <row r="120" spans="2:20" s="10" customFormat="1" hidden="1" x14ac:dyDescent="0.2">
      <c r="B120" s="340"/>
      <c r="C120" s="340"/>
      <c r="E120" s="9"/>
      <c r="F120" s="9"/>
      <c r="G120" s="9"/>
      <c r="H120" s="9"/>
      <c r="I120" s="9"/>
      <c r="J120" s="9"/>
      <c r="K120" s="9"/>
      <c r="L120" s="9"/>
      <c r="M120" s="9"/>
      <c r="N120" s="9"/>
      <c r="O120" s="9"/>
      <c r="P120" s="9"/>
      <c r="Q120" s="9"/>
      <c r="R120" s="9"/>
      <c r="S120" s="9"/>
      <c r="T120" s="9"/>
    </row>
    <row r="121" spans="2:20" s="10" customFormat="1" hidden="1" x14ac:dyDescent="0.2">
      <c r="B121" s="340"/>
      <c r="C121" s="340"/>
      <c r="E121" s="9"/>
      <c r="F121" s="9"/>
      <c r="G121" s="9"/>
      <c r="H121" s="9"/>
      <c r="I121" s="9"/>
      <c r="J121" s="9"/>
      <c r="K121" s="9"/>
      <c r="L121" s="9"/>
      <c r="M121" s="9"/>
      <c r="N121" s="9"/>
      <c r="O121" s="9"/>
      <c r="P121" s="9"/>
      <c r="Q121" s="9"/>
      <c r="R121" s="9"/>
      <c r="S121" s="9"/>
      <c r="T121" s="9"/>
    </row>
    <row r="122" spans="2:20" s="10" customFormat="1" hidden="1" x14ac:dyDescent="0.2">
      <c r="B122" s="340"/>
      <c r="C122" s="340"/>
      <c r="E122" s="9"/>
      <c r="F122" s="9"/>
      <c r="G122" s="9"/>
      <c r="H122" s="9"/>
      <c r="I122" s="9"/>
      <c r="J122" s="9"/>
      <c r="K122" s="9"/>
      <c r="L122" s="9"/>
      <c r="M122" s="9"/>
      <c r="N122" s="9"/>
      <c r="O122" s="9"/>
      <c r="P122" s="9"/>
      <c r="Q122" s="9"/>
      <c r="R122" s="9"/>
      <c r="S122" s="9"/>
      <c r="T122" s="9"/>
    </row>
    <row r="123" spans="2:20" s="10" customFormat="1" hidden="1" x14ac:dyDescent="0.2">
      <c r="B123" s="340"/>
      <c r="C123" s="340"/>
      <c r="E123" s="9"/>
      <c r="F123" s="9"/>
      <c r="G123" s="9"/>
      <c r="H123" s="9"/>
      <c r="I123" s="9"/>
      <c r="J123" s="9"/>
      <c r="K123" s="9"/>
      <c r="L123" s="9"/>
      <c r="M123" s="9"/>
      <c r="N123" s="9"/>
      <c r="O123" s="9"/>
      <c r="P123" s="9"/>
      <c r="Q123" s="9"/>
      <c r="R123" s="9"/>
      <c r="S123" s="9"/>
      <c r="T123" s="9"/>
    </row>
    <row r="124" spans="2:20" s="10" customFormat="1" hidden="1" x14ac:dyDescent="0.2">
      <c r="B124" s="340"/>
      <c r="C124" s="340"/>
      <c r="E124" s="9"/>
      <c r="F124" s="9"/>
      <c r="G124" s="9"/>
      <c r="H124" s="9"/>
      <c r="I124" s="9"/>
      <c r="J124" s="9"/>
      <c r="K124" s="9"/>
      <c r="L124" s="9"/>
      <c r="M124" s="9"/>
      <c r="N124" s="9"/>
      <c r="O124" s="9"/>
      <c r="P124" s="9"/>
      <c r="Q124" s="9"/>
      <c r="R124" s="9"/>
      <c r="S124" s="9"/>
      <c r="T124" s="9"/>
    </row>
    <row r="125" spans="2:20" s="10" customFormat="1" hidden="1" x14ac:dyDescent="0.2">
      <c r="B125" s="340"/>
      <c r="C125" s="340"/>
      <c r="E125" s="9"/>
      <c r="F125" s="9"/>
      <c r="G125" s="9"/>
      <c r="H125" s="9"/>
      <c r="I125" s="9"/>
      <c r="J125" s="9"/>
      <c r="K125" s="9"/>
      <c r="L125" s="9"/>
      <c r="M125" s="9"/>
      <c r="N125" s="9"/>
      <c r="O125" s="9"/>
      <c r="P125" s="9"/>
      <c r="Q125" s="9"/>
      <c r="R125" s="9"/>
      <c r="S125" s="9"/>
      <c r="T125" s="9"/>
    </row>
    <row r="126" spans="2:20" s="10" customFormat="1" hidden="1" x14ac:dyDescent="0.2">
      <c r="B126" s="340"/>
      <c r="C126" s="340"/>
      <c r="E126" s="9"/>
      <c r="F126" s="9"/>
      <c r="G126" s="9"/>
      <c r="H126" s="9"/>
      <c r="I126" s="9"/>
      <c r="J126" s="9"/>
      <c r="K126" s="9"/>
      <c r="L126" s="9"/>
      <c r="M126" s="9"/>
      <c r="N126" s="9"/>
      <c r="O126" s="9"/>
      <c r="P126" s="9"/>
      <c r="Q126" s="9"/>
      <c r="R126" s="9"/>
      <c r="S126" s="9"/>
      <c r="T126" s="9"/>
    </row>
    <row r="127" spans="2:20" s="10" customFormat="1" hidden="1" x14ac:dyDescent="0.2">
      <c r="B127" s="340"/>
      <c r="C127" s="340"/>
      <c r="E127" s="9"/>
      <c r="F127" s="9"/>
      <c r="G127" s="9"/>
      <c r="H127" s="9"/>
      <c r="I127" s="9"/>
      <c r="J127" s="9"/>
      <c r="K127" s="9"/>
      <c r="L127" s="9"/>
      <c r="M127" s="9"/>
      <c r="N127" s="9"/>
      <c r="O127" s="9"/>
      <c r="P127" s="9"/>
      <c r="Q127" s="9"/>
      <c r="R127" s="9"/>
      <c r="S127" s="9"/>
      <c r="T127" s="9"/>
    </row>
    <row r="128" spans="2:20" s="10" customFormat="1" hidden="1" x14ac:dyDescent="0.2">
      <c r="B128" s="340"/>
      <c r="C128" s="340"/>
      <c r="E128" s="9"/>
      <c r="F128" s="9"/>
      <c r="G128" s="9"/>
      <c r="H128" s="9"/>
      <c r="I128" s="9"/>
      <c r="J128" s="9"/>
      <c r="K128" s="9"/>
      <c r="L128" s="9"/>
      <c r="M128" s="9"/>
      <c r="N128" s="9"/>
      <c r="O128" s="9"/>
      <c r="P128" s="9"/>
      <c r="Q128" s="9"/>
      <c r="R128" s="9"/>
      <c r="S128" s="9"/>
      <c r="T128" s="9"/>
    </row>
    <row r="129" spans="2:20" s="10" customFormat="1" hidden="1" x14ac:dyDescent="0.2">
      <c r="B129" s="340"/>
      <c r="C129" s="340"/>
      <c r="E129" s="9"/>
      <c r="F129" s="9"/>
      <c r="G129" s="9"/>
      <c r="H129" s="9"/>
      <c r="I129" s="9"/>
      <c r="J129" s="9"/>
      <c r="K129" s="9"/>
      <c r="L129" s="9"/>
      <c r="M129" s="9"/>
      <c r="N129" s="9"/>
      <c r="O129" s="9"/>
      <c r="P129" s="9"/>
      <c r="Q129" s="9"/>
      <c r="R129" s="9"/>
      <c r="S129" s="9"/>
      <c r="T129" s="9"/>
    </row>
    <row r="130" spans="2:20" hidden="1" x14ac:dyDescent="0.2">
      <c r="B130" s="340"/>
      <c r="C130" s="340"/>
    </row>
    <row r="131" spans="2:20" hidden="1" x14ac:dyDescent="0.2">
      <c r="B131" s="340"/>
      <c r="C131" s="340"/>
    </row>
    <row r="132" spans="2:20" hidden="1" x14ac:dyDescent="0.2">
      <c r="B132" s="340"/>
      <c r="C132" s="340"/>
    </row>
    <row r="133" spans="2:20" hidden="1" x14ac:dyDescent="0.2">
      <c r="B133" s="340"/>
      <c r="C133" s="340"/>
    </row>
    <row r="134" spans="2:20" hidden="1" x14ac:dyDescent="0.2">
      <c r="B134" s="340"/>
      <c r="C134" s="340"/>
    </row>
    <row r="135" spans="2:20" hidden="1" x14ac:dyDescent="0.2">
      <c r="B135" s="340"/>
      <c r="C135" s="340"/>
    </row>
    <row r="136" spans="2:20" hidden="1" x14ac:dyDescent="0.2">
      <c r="B136" s="340"/>
      <c r="C136" s="340"/>
    </row>
    <row r="137" spans="2:20" hidden="1" x14ac:dyDescent="0.2">
      <c r="B137" s="340"/>
      <c r="C137" s="340"/>
    </row>
  </sheetData>
  <sheetProtection sheet="1" objects="1" scenarios="1"/>
  <mergeCells count="22">
    <mergeCell ref="B87:C87"/>
    <mergeCell ref="B2:C2"/>
    <mergeCell ref="B5:C5"/>
    <mergeCell ref="B4:C4"/>
    <mergeCell ref="B48:C48"/>
    <mergeCell ref="B49:C49"/>
    <mergeCell ref="B8:C8"/>
    <mergeCell ref="B3:C3"/>
    <mergeCell ref="B7:C7"/>
    <mergeCell ref="B9:C9"/>
    <mergeCell ref="B27:B30"/>
    <mergeCell ref="C27:C30"/>
    <mergeCell ref="B12:B13"/>
    <mergeCell ref="C12:C13"/>
    <mergeCell ref="B14:B15"/>
    <mergeCell ref="C14:C15"/>
    <mergeCell ref="B76:C76"/>
    <mergeCell ref="B16:B17"/>
    <mergeCell ref="C16:C17"/>
    <mergeCell ref="B18:B19"/>
    <mergeCell ref="C18:C19"/>
    <mergeCell ref="B20:B22"/>
  </mergeCells>
  <conditionalFormatting sqref="C23">
    <cfRule type="containsBlanks" dxfId="75" priority="1">
      <formula>LEN(TRIM(C23))=0</formula>
    </cfRule>
  </conditionalFormatting>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drawing r:id="rId3"/>
  <extLst>
    <ext xmlns:x14="http://schemas.microsoft.com/office/spreadsheetml/2009/9/main" uri="{78C0D931-6437-407d-A8EE-F0AAD7539E65}">
      <x14:conditionalFormattings>
        <x14:conditionalFormatting xmlns:xm="http://schemas.microsoft.com/office/excel/2006/main">
          <x14:cfRule type="iconSet" priority="2" id="{6D89CAD2-2D98-412E-A524-932A152F6757}">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3" id="{77F0041B-F7F5-405B-96E1-9E0BEC512759}">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4" id="{771C7795-99BB-4C16-AB6A-916273F0B3C4}">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5" id="{7E53E5B7-03B1-4EB4-A4D3-74F3CFC95BCF}">
            <x14:iconSet iconSet="3Symbols" custom="1">
              <x14:cfvo type="percent">
                <xm:f>0</xm:f>
              </x14:cfvo>
              <x14:cfvo type="num">
                <xm:f>0</xm:f>
              </x14:cfvo>
              <x14:cfvo type="num">
                <xm:f>0</xm:f>
              </x14:cfvo>
              <x14:cfIcon iconSet="3Symbols" iconId="2"/>
              <x14:cfIcon iconSet="3Symbols" iconId="2"/>
              <x14:cfIcon iconSet="3Symbols" iconId="2"/>
            </x14:iconSet>
          </x14:cfRule>
          <xm:sqref>C23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Z43"/>
  <sheetViews>
    <sheetView zoomScale="89" zoomScaleNormal="89" workbookViewId="0">
      <selection activeCell="D4" sqref="D4"/>
    </sheetView>
  </sheetViews>
  <sheetFormatPr defaultColWidth="0" defaultRowHeight="15" zeroHeight="1" x14ac:dyDescent="0.2"/>
  <cols>
    <col min="1" max="1" width="3.5" style="78" bestFit="1" customWidth="1"/>
    <col min="2" max="2" width="20.75" style="80" bestFit="1" customWidth="1"/>
    <col min="3" max="3" width="26.375" style="61" bestFit="1" customWidth="1"/>
    <col min="4" max="4" width="27.5" style="56" bestFit="1" customWidth="1"/>
    <col min="5" max="5" width="3.5" style="78" bestFit="1" customWidth="1"/>
    <col min="6" max="52" width="0" style="79" hidden="1" customWidth="1"/>
    <col min="53" max="16384" width="20.625" style="64" hidden="1"/>
  </cols>
  <sheetData>
    <row r="1" spans="1:5" s="78" customFormat="1" x14ac:dyDescent="0.2"/>
    <row r="2" spans="1:5" s="80" customFormat="1" x14ac:dyDescent="0.2">
      <c r="A2" s="78"/>
      <c r="B2" s="2" t="s">
        <v>378</v>
      </c>
      <c r="C2" s="2"/>
      <c r="D2" s="2"/>
      <c r="E2" s="78"/>
    </row>
    <row r="3" spans="1:5" x14ac:dyDescent="0.2">
      <c r="B3" s="83" t="s">
        <v>379</v>
      </c>
      <c r="C3" s="83" t="s">
        <v>380</v>
      </c>
      <c r="D3" s="83" t="s">
        <v>79</v>
      </c>
    </row>
    <row r="4" spans="1:5" x14ac:dyDescent="0.2">
      <c r="B4" s="80">
        <v>44927</v>
      </c>
      <c r="C4" s="59" t="s">
        <v>381</v>
      </c>
      <c r="D4" s="56">
        <v>2023</v>
      </c>
    </row>
    <row r="5" spans="1:5" x14ac:dyDescent="0.2">
      <c r="B5" s="80">
        <v>44562</v>
      </c>
      <c r="C5" s="198">
        <v>145.30000000000001</v>
      </c>
      <c r="D5" s="56">
        <v>2022</v>
      </c>
    </row>
    <row r="6" spans="1:5" x14ac:dyDescent="0.2">
      <c r="B6" s="80">
        <v>44197</v>
      </c>
      <c r="C6" s="198">
        <v>138.19999999999999</v>
      </c>
      <c r="D6" s="56">
        <v>2021</v>
      </c>
    </row>
    <row r="7" spans="1:5" x14ac:dyDescent="0.2">
      <c r="B7" s="80">
        <v>43831</v>
      </c>
      <c r="C7" s="198">
        <v>136.80000000000001</v>
      </c>
      <c r="D7" s="56">
        <v>2020</v>
      </c>
    </row>
    <row r="8" spans="1:5" x14ac:dyDescent="0.2">
      <c r="B8" s="80">
        <v>43466</v>
      </c>
      <c r="C8" s="198">
        <v>133.6</v>
      </c>
      <c r="D8" s="56">
        <v>2019</v>
      </c>
    </row>
    <row r="9" spans="1:5" x14ac:dyDescent="0.2">
      <c r="B9" s="80">
        <v>43101</v>
      </c>
      <c r="C9" s="198">
        <v>131.69999999999999</v>
      </c>
      <c r="D9" s="56">
        <v>2018</v>
      </c>
    </row>
    <row r="10" spans="1:5" x14ac:dyDescent="0.2">
      <c r="A10" s="78">
        <v>33</v>
      </c>
      <c r="B10" s="80">
        <v>42736</v>
      </c>
      <c r="C10" s="198">
        <v>129.5</v>
      </c>
      <c r="D10" s="56">
        <v>2017</v>
      </c>
      <c r="E10" s="78">
        <v>33</v>
      </c>
    </row>
    <row r="11" spans="1:5" x14ac:dyDescent="0.2">
      <c r="A11" s="78">
        <v>33</v>
      </c>
      <c r="B11" s="80">
        <v>42370</v>
      </c>
      <c r="C11" s="198">
        <v>126.8</v>
      </c>
      <c r="D11" s="56">
        <v>2016</v>
      </c>
      <c r="E11" s="78">
        <v>33</v>
      </c>
    </row>
    <row r="12" spans="1:5" x14ac:dyDescent="0.2">
      <c r="B12" s="80">
        <v>42339</v>
      </c>
      <c r="C12" s="198">
        <v>124.3</v>
      </c>
      <c r="D12" s="56">
        <v>2015</v>
      </c>
    </row>
    <row r="13" spans="1:5" x14ac:dyDescent="0.2">
      <c r="B13" s="80">
        <v>41974</v>
      </c>
      <c r="C13" s="198">
        <v>123.1</v>
      </c>
      <c r="D13" s="56">
        <v>2014</v>
      </c>
    </row>
    <row r="14" spans="1:5" x14ac:dyDescent="0.2">
      <c r="B14" s="80">
        <v>41609</v>
      </c>
      <c r="C14" s="198">
        <v>121.3</v>
      </c>
      <c r="D14" s="56">
        <v>2013</v>
      </c>
    </row>
    <row r="15" spans="1:5" x14ac:dyDescent="0.2">
      <c r="B15" s="80">
        <v>41244</v>
      </c>
      <c r="C15" s="198">
        <v>120.7</v>
      </c>
      <c r="D15" s="56">
        <v>2012</v>
      </c>
    </row>
    <row r="16" spans="1:5" x14ac:dyDescent="0.2">
      <c r="B16" s="80">
        <v>40878</v>
      </c>
      <c r="C16" s="198">
        <v>117.8</v>
      </c>
      <c r="D16" s="56">
        <v>2011</v>
      </c>
    </row>
    <row r="17" spans="1:5" x14ac:dyDescent="0.2">
      <c r="B17" s="80">
        <v>40513</v>
      </c>
      <c r="C17" s="198">
        <v>115.1</v>
      </c>
      <c r="D17" s="56">
        <v>2010</v>
      </c>
    </row>
    <row r="18" spans="1:5" x14ac:dyDescent="0.2">
      <c r="B18" s="80">
        <v>40148</v>
      </c>
      <c r="C18" s="198">
        <v>113</v>
      </c>
      <c r="D18" s="56">
        <v>2009</v>
      </c>
    </row>
    <row r="19" spans="1:5" x14ac:dyDescent="0.2">
      <c r="B19" s="80">
        <v>39783</v>
      </c>
      <c r="C19" s="198">
        <v>111.8</v>
      </c>
      <c r="D19" s="56">
        <v>2008</v>
      </c>
    </row>
    <row r="20" spans="1:5" x14ac:dyDescent="0.2">
      <c r="B20" s="80">
        <v>39417</v>
      </c>
      <c r="C20" s="198">
        <v>109.4</v>
      </c>
      <c r="D20" s="56">
        <v>2007</v>
      </c>
    </row>
    <row r="21" spans="1:5" x14ac:dyDescent="0.2">
      <c r="B21" s="80">
        <v>39052</v>
      </c>
      <c r="C21" s="198">
        <v>108.2</v>
      </c>
      <c r="D21" s="56">
        <v>2006</v>
      </c>
    </row>
    <row r="22" spans="1:5" x14ac:dyDescent="0.2">
      <c r="B22" s="80">
        <v>38687</v>
      </c>
      <c r="C22" s="198">
        <v>105.3</v>
      </c>
      <c r="D22" s="56">
        <v>2005</v>
      </c>
    </row>
    <row r="23" spans="1:5" x14ac:dyDescent="0.2">
      <c r="B23" s="80">
        <v>38322</v>
      </c>
      <c r="C23" s="198">
        <v>103.3</v>
      </c>
      <c r="D23" s="56">
        <v>2004</v>
      </c>
    </row>
    <row r="24" spans="1:5" x14ac:dyDescent="0.2">
      <c r="A24" s="78">
        <v>33</v>
      </c>
      <c r="B24" s="80">
        <v>37956</v>
      </c>
      <c r="C24" s="198">
        <v>102</v>
      </c>
      <c r="D24" s="56">
        <v>2003</v>
      </c>
      <c r="E24" s="78">
        <v>33</v>
      </c>
    </row>
    <row r="25" spans="1:5" x14ac:dyDescent="0.2">
      <c r="A25" s="78">
        <v>33</v>
      </c>
      <c r="B25" s="80">
        <v>37591</v>
      </c>
      <c r="C25" s="198">
        <v>97.6</v>
      </c>
      <c r="D25" s="56">
        <v>2002</v>
      </c>
      <c r="E25" s="78">
        <v>33</v>
      </c>
    </row>
    <row r="26" spans="1:5" x14ac:dyDescent="0.2">
      <c r="A26" s="78">
        <v>33</v>
      </c>
      <c r="B26" s="80">
        <v>37226</v>
      </c>
      <c r="C26" s="198">
        <v>96.3</v>
      </c>
      <c r="D26" s="56">
        <v>2001</v>
      </c>
      <c r="E26" s="78">
        <v>33</v>
      </c>
    </row>
    <row r="27" spans="1:5" x14ac:dyDescent="0.2">
      <c r="B27" s="80">
        <v>36861</v>
      </c>
      <c r="C27" s="198">
        <v>93.5</v>
      </c>
      <c r="D27" s="56">
        <v>2000</v>
      </c>
    </row>
    <row r="28" spans="1:5" x14ac:dyDescent="0.2">
      <c r="B28" s="1" t="s">
        <v>382</v>
      </c>
      <c r="C28" s="1"/>
      <c r="D28" s="1"/>
    </row>
    <row r="29" spans="1:5" x14ac:dyDescent="0.2">
      <c r="B29" s="1" t="s">
        <v>383</v>
      </c>
      <c r="C29" s="1"/>
      <c r="D29" s="1"/>
    </row>
    <row r="30" spans="1:5" x14ac:dyDescent="0.2">
      <c r="B30" s="199" t="s">
        <v>384</v>
      </c>
      <c r="C30" s="1"/>
      <c r="D30" s="1"/>
    </row>
    <row r="31" spans="1:5" x14ac:dyDescent="0.2">
      <c r="B31" s="199" t="s">
        <v>385</v>
      </c>
      <c r="C31" s="1"/>
      <c r="D31" s="1"/>
    </row>
    <row r="32" spans="1:5" x14ac:dyDescent="0.2">
      <c r="B32" s="78"/>
      <c r="C32" s="78"/>
      <c r="D32" s="78"/>
    </row>
    <row r="33" spans="1:5" hidden="1" x14ac:dyDescent="0.2">
      <c r="C33" s="80"/>
      <c r="D33" s="80"/>
    </row>
    <row r="40" spans="1:5" hidden="1" x14ac:dyDescent="0.2">
      <c r="A40" s="78">
        <v>33</v>
      </c>
      <c r="E40" s="78">
        <v>33</v>
      </c>
    </row>
    <row r="41" spans="1:5" hidden="1" x14ac:dyDescent="0.2">
      <c r="A41" s="78">
        <v>33</v>
      </c>
      <c r="E41" s="78">
        <v>33</v>
      </c>
    </row>
    <row r="42" spans="1:5" hidden="1" x14ac:dyDescent="0.2">
      <c r="A42" s="78">
        <v>33</v>
      </c>
      <c r="E42" s="78">
        <v>33</v>
      </c>
    </row>
    <row r="43" spans="1:5" hidden="1" x14ac:dyDescent="0.2">
      <c r="A43" s="78">
        <v>33</v>
      </c>
      <c r="E43" s="78">
        <v>33</v>
      </c>
    </row>
  </sheetData>
  <sheetProtection selectLockedCells="1" selectUnlockedCells="1"/>
  <phoneticPr fontId="13" type="noConversion"/>
  <hyperlinks>
    <hyperlink ref="B29" r:id="rId1" xr:uid="{AC6A8E6A-3B53-4C46-BA7D-030B45014A4B}"/>
  </hyperlinks>
  <pageMargins left="0.7" right="0.7" top="0.75" bottom="0.75" header="0.3" footer="0.3"/>
  <pageSetup orientation="portrait" r:id="rId2"/>
  <headerFooter>
    <oddHeader>&amp;R&amp;"Calibri"&amp;10&amp;K000000 Unclassified / Non classifié&amp;1#_x000D_</oddHeader>
  </headerFooter>
  <customProperties>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X195"/>
  <sheetViews>
    <sheetView topLeftCell="A26" zoomScale="60" zoomScaleNormal="60" workbookViewId="0">
      <selection activeCell="I6" sqref="I6"/>
    </sheetView>
  </sheetViews>
  <sheetFormatPr defaultColWidth="0" defaultRowHeight="15" zeroHeight="1" x14ac:dyDescent="0.2"/>
  <cols>
    <col min="1" max="1" width="2.625" style="78" customWidth="1"/>
    <col min="2" max="2" width="43.875" style="33" customWidth="1"/>
    <col min="3" max="6" width="19.875" style="33" customWidth="1"/>
    <col min="7" max="12" width="19.875" style="5" customWidth="1"/>
    <col min="13" max="13" width="2.625" style="78" customWidth="1"/>
    <col min="14" max="14" width="151.125" style="84" hidden="1" customWidth="1"/>
    <col min="15" max="15" width="2.625" style="78" hidden="1" customWidth="1"/>
    <col min="16" max="19" width="15.625" style="84" hidden="1" customWidth="1"/>
    <col min="20" max="24" width="15.625" style="5" hidden="1" customWidth="1"/>
    <col min="25" max="16384" width="15.625" style="33" hidden="1"/>
  </cols>
  <sheetData>
    <row r="1" spans="1:24" s="78" customFormat="1" x14ac:dyDescent="0.2"/>
    <row r="2" spans="1:24" s="226" customFormat="1" ht="15.75" x14ac:dyDescent="0.2">
      <c r="A2" s="239"/>
      <c r="B2" s="203" t="s">
        <v>62</v>
      </c>
      <c r="C2" s="203"/>
      <c r="D2" s="203"/>
      <c r="E2" s="203"/>
      <c r="F2" s="203"/>
      <c r="G2" s="203"/>
      <c r="H2" s="203"/>
      <c r="I2" s="203"/>
      <c r="J2" s="203"/>
      <c r="K2" s="203"/>
      <c r="L2" s="203"/>
      <c r="M2" s="239"/>
      <c r="N2" s="240"/>
      <c r="O2" s="239"/>
      <c r="P2" s="240"/>
      <c r="Q2" s="240"/>
      <c r="R2" s="240"/>
      <c r="S2" s="240"/>
      <c r="T2" s="212"/>
      <c r="U2" s="212"/>
      <c r="V2" s="212"/>
      <c r="W2" s="212"/>
      <c r="X2" s="212"/>
    </row>
    <row r="3" spans="1:24" s="411" customFormat="1" ht="36" customHeight="1" x14ac:dyDescent="0.2">
      <c r="A3" s="408"/>
      <c r="B3" s="465" t="s">
        <v>63</v>
      </c>
      <c r="C3" s="465"/>
      <c r="D3" s="465"/>
      <c r="E3" s="465"/>
      <c r="F3" s="465"/>
      <c r="G3" s="465"/>
      <c r="H3" s="465"/>
      <c r="I3" s="465"/>
      <c r="J3" s="465"/>
      <c r="K3" s="465"/>
      <c r="L3" s="465"/>
      <c r="M3" s="408"/>
      <c r="N3" s="409"/>
      <c r="O3" s="408"/>
      <c r="P3" s="409"/>
      <c r="Q3" s="409"/>
      <c r="R3" s="409"/>
      <c r="S3" s="409"/>
      <c r="T3" s="410"/>
      <c r="U3" s="410"/>
      <c r="V3" s="410"/>
      <c r="W3" s="410"/>
      <c r="X3" s="410"/>
    </row>
    <row r="4" spans="1:24" s="85" customFormat="1" ht="36" customHeight="1" x14ac:dyDescent="0.2">
      <c r="A4" s="78"/>
      <c r="B4" s="458" t="s">
        <v>64</v>
      </c>
      <c r="C4" s="458"/>
      <c r="D4" s="458"/>
      <c r="E4" s="458"/>
      <c r="F4" s="458"/>
      <c r="G4" s="458"/>
      <c r="H4" s="458"/>
      <c r="I4" s="458"/>
      <c r="J4" s="458"/>
      <c r="K4" s="458"/>
      <c r="L4" s="458"/>
      <c r="M4" s="78"/>
      <c r="N4" s="84"/>
      <c r="O4" s="78"/>
      <c r="P4" s="84"/>
      <c r="Q4" s="84"/>
      <c r="R4" s="84"/>
      <c r="S4" s="84"/>
      <c r="T4" s="5"/>
      <c r="U4" s="5"/>
      <c r="V4" s="5"/>
      <c r="W4" s="5"/>
      <c r="X4" s="5"/>
    </row>
    <row r="5" spans="1:24" s="85" customFormat="1" x14ac:dyDescent="0.2">
      <c r="A5" s="78"/>
      <c r="B5" s="200"/>
      <c r="C5" s="200"/>
      <c r="D5" s="200"/>
      <c r="E5" s="200"/>
      <c r="F5" s="200"/>
      <c r="G5" s="200"/>
      <c r="H5" s="200"/>
      <c r="I5" s="200"/>
      <c r="J5" s="200"/>
      <c r="K5" s="200"/>
      <c r="L5" s="200"/>
      <c r="M5" s="78"/>
      <c r="N5" s="84"/>
      <c r="O5" s="78"/>
      <c r="P5" s="84"/>
      <c r="Q5" s="84"/>
      <c r="R5" s="84"/>
      <c r="S5" s="84"/>
      <c r="T5" s="5"/>
      <c r="U5" s="5"/>
      <c r="V5" s="5"/>
      <c r="W5" s="5"/>
      <c r="X5" s="5"/>
    </row>
    <row r="6" spans="1:24" s="362" customFormat="1" ht="15.75" x14ac:dyDescent="0.2">
      <c r="A6" s="78"/>
      <c r="B6" s="412" t="s">
        <v>65</v>
      </c>
      <c r="C6" s="200"/>
      <c r="D6" s="200"/>
      <c r="E6" s="200"/>
      <c r="F6" s="200"/>
      <c r="G6" s="200"/>
      <c r="I6" s="269" t="s">
        <v>66</v>
      </c>
      <c r="J6" s="200"/>
      <c r="K6" s="200"/>
      <c r="L6" s="200"/>
      <c r="M6" s="78"/>
      <c r="N6" s="84"/>
      <c r="O6" s="78"/>
      <c r="P6" s="84"/>
      <c r="Q6" s="84"/>
      <c r="R6" s="84"/>
      <c r="S6" s="84"/>
      <c r="T6" s="5"/>
      <c r="U6" s="5"/>
      <c r="V6" s="5"/>
      <c r="W6" s="5"/>
      <c r="X6" s="5"/>
    </row>
    <row r="7" spans="1:24" s="85" customFormat="1" x14ac:dyDescent="0.2">
      <c r="A7" s="78"/>
      <c r="B7" s="200"/>
      <c r="C7" s="200"/>
      <c r="D7" s="200"/>
      <c r="E7" s="200"/>
      <c r="F7" s="200"/>
      <c r="G7" s="200"/>
      <c r="H7" s="200"/>
      <c r="I7" s="200"/>
      <c r="J7" s="200"/>
      <c r="K7" s="200"/>
      <c r="L7" s="200"/>
      <c r="M7" s="78"/>
      <c r="N7" s="84"/>
      <c r="O7" s="78"/>
      <c r="P7" s="84"/>
      <c r="Q7" s="84"/>
      <c r="R7" s="84"/>
      <c r="S7" s="84"/>
      <c r="T7" s="5"/>
      <c r="U7" s="5"/>
      <c r="V7" s="5"/>
      <c r="W7" s="5"/>
      <c r="X7" s="5"/>
    </row>
    <row r="8" spans="1:24" s="362" customFormat="1" ht="15.75" x14ac:dyDescent="0.2">
      <c r="A8" s="78"/>
      <c r="B8" s="412" t="s">
        <v>67</v>
      </c>
      <c r="C8" s="200"/>
      <c r="E8" s="200"/>
      <c r="F8" s="200"/>
      <c r="G8" s="200"/>
      <c r="H8" s="200"/>
      <c r="I8" s="200"/>
      <c r="J8" s="200"/>
      <c r="K8" s="200"/>
      <c r="L8" s="200"/>
      <c r="M8" s="78"/>
      <c r="N8" s="84"/>
      <c r="O8" s="78"/>
      <c r="P8" s="84"/>
      <c r="Q8" s="84"/>
      <c r="R8" s="84"/>
      <c r="S8" s="84"/>
      <c r="T8" s="5"/>
      <c r="U8" s="5"/>
      <c r="V8" s="5"/>
      <c r="W8" s="5"/>
      <c r="X8" s="5"/>
    </row>
    <row r="9" spans="1:24" s="85" customFormat="1" x14ac:dyDescent="0.2">
      <c r="A9" s="78"/>
      <c r="B9" s="200"/>
      <c r="C9" s="200"/>
      <c r="D9" s="200"/>
      <c r="E9" s="200"/>
      <c r="F9" s="200"/>
      <c r="G9" s="200"/>
      <c r="H9" s="200"/>
      <c r="I9" s="200"/>
      <c r="J9" s="200"/>
      <c r="K9" s="200"/>
      <c r="L9" s="200"/>
      <c r="M9" s="78"/>
      <c r="N9" s="84"/>
      <c r="O9" s="78"/>
      <c r="P9" s="84"/>
      <c r="Q9" s="84"/>
      <c r="R9" s="84"/>
      <c r="S9" s="84"/>
      <c r="T9" s="5"/>
      <c r="U9" s="5"/>
      <c r="V9" s="5"/>
      <c r="W9" s="5"/>
      <c r="X9" s="5"/>
    </row>
    <row r="10" spans="1:24" s="265" customFormat="1" ht="35.1" customHeight="1" x14ac:dyDescent="0.2">
      <c r="A10" s="263"/>
      <c r="B10" s="465" t="s">
        <v>68</v>
      </c>
      <c r="C10" s="465"/>
      <c r="D10" s="465"/>
      <c r="E10" s="465"/>
      <c r="F10" s="465"/>
      <c r="G10" s="465"/>
      <c r="H10" s="465"/>
      <c r="I10" s="465"/>
      <c r="J10" s="465"/>
      <c r="K10" s="465"/>
      <c r="L10" s="465"/>
      <c r="M10" s="263"/>
      <c r="N10" s="264"/>
      <c r="O10" s="263"/>
      <c r="P10" s="264"/>
      <c r="Q10" s="264"/>
      <c r="R10" s="264"/>
      <c r="S10" s="264"/>
      <c r="T10" s="261"/>
      <c r="U10" s="261"/>
      <c r="V10" s="261"/>
      <c r="W10" s="261"/>
      <c r="X10" s="261"/>
    </row>
    <row r="11" spans="1:24" s="265" customFormat="1" x14ac:dyDescent="0.2">
      <c r="A11" s="263"/>
      <c r="B11" s="200"/>
      <c r="C11" s="260"/>
      <c r="D11" s="260"/>
      <c r="E11" s="260"/>
      <c r="F11" s="260"/>
      <c r="G11" s="260"/>
      <c r="H11" s="260"/>
      <c r="I11" s="260"/>
      <c r="J11" s="260"/>
      <c r="K11" s="260"/>
      <c r="L11" s="260"/>
      <c r="M11" s="263"/>
      <c r="N11" s="264"/>
      <c r="O11" s="263"/>
      <c r="P11" s="264"/>
      <c r="Q11" s="264"/>
      <c r="R11" s="264"/>
      <c r="S11" s="264"/>
      <c r="T11" s="261"/>
      <c r="U11" s="261"/>
      <c r="V11" s="261"/>
      <c r="W11" s="261"/>
      <c r="X11" s="261"/>
    </row>
    <row r="12" spans="1:24" s="265" customFormat="1" x14ac:dyDescent="0.2">
      <c r="A12" s="263"/>
      <c r="B12" s="200" t="s">
        <v>6</v>
      </c>
      <c r="C12" s="260"/>
      <c r="D12" s="260"/>
      <c r="E12" s="260"/>
      <c r="F12" s="260"/>
      <c r="G12" s="260"/>
      <c r="H12" s="260"/>
      <c r="I12" s="260"/>
      <c r="J12" s="260"/>
      <c r="K12" s="260"/>
      <c r="L12" s="260"/>
      <c r="M12" s="263"/>
      <c r="N12" s="264"/>
      <c r="O12" s="263"/>
      <c r="P12" s="264"/>
      <c r="Q12" s="264"/>
      <c r="R12" s="264"/>
      <c r="S12" s="264"/>
      <c r="T12" s="261"/>
      <c r="U12" s="261"/>
      <c r="V12" s="261"/>
      <c r="W12" s="261"/>
      <c r="X12" s="261"/>
    </row>
    <row r="13" spans="1:24" s="241" customFormat="1" ht="15.75" x14ac:dyDescent="0.2">
      <c r="A13" s="239"/>
      <c r="B13" s="205" t="s">
        <v>69</v>
      </c>
      <c r="C13" s="466" t="s">
        <v>70</v>
      </c>
      <c r="D13" s="467"/>
      <c r="E13" s="466" t="s">
        <v>71</v>
      </c>
      <c r="F13" s="467"/>
      <c r="G13" s="466" t="s">
        <v>72</v>
      </c>
      <c r="H13" s="467"/>
      <c r="I13" s="466" t="s">
        <v>73</v>
      </c>
      <c r="J13" s="467"/>
      <c r="K13" s="466" t="s">
        <v>74</v>
      </c>
      <c r="L13" s="467"/>
      <c r="M13" s="239"/>
      <c r="N13" s="240"/>
      <c r="O13" s="239"/>
      <c r="P13" s="240"/>
      <c r="Q13" s="240"/>
      <c r="R13" s="240"/>
      <c r="S13" s="240"/>
      <c r="T13" s="212"/>
      <c r="U13" s="212"/>
      <c r="V13" s="212"/>
      <c r="W13" s="212"/>
      <c r="X13" s="212"/>
    </row>
    <row r="14" spans="1:24" s="87" customFormat="1" ht="15.75" x14ac:dyDescent="0.2">
      <c r="A14" s="81"/>
      <c r="B14" s="21" t="s">
        <v>75</v>
      </c>
      <c r="C14" s="413" t="s">
        <v>76</v>
      </c>
      <c r="D14" s="128"/>
      <c r="E14" s="253" t="s">
        <v>77</v>
      </c>
      <c r="F14" s="128"/>
      <c r="G14" s="253" t="s">
        <v>77</v>
      </c>
      <c r="H14" s="128"/>
      <c r="I14" s="253" t="s">
        <v>77</v>
      </c>
      <c r="J14" s="128"/>
      <c r="K14" s="438" t="s">
        <v>77</v>
      </c>
      <c r="L14" s="128"/>
      <c r="M14" s="81"/>
      <c r="N14" s="86"/>
      <c r="O14" s="81"/>
      <c r="P14" s="86"/>
      <c r="Q14" s="86"/>
      <c r="R14" s="86"/>
      <c r="S14" s="86"/>
    </row>
    <row r="15" spans="1:24" s="5" customFormat="1" x14ac:dyDescent="0.2">
      <c r="A15" s="78">
        <v>33</v>
      </c>
      <c r="B15" s="363">
        <v>1</v>
      </c>
      <c r="C15" s="435" t="str">
        <f>Rotation_Hide!C6</f>
        <v>Pommes de terre</v>
      </c>
      <c r="D15" s="247">
        <f>Rotation_Hide!C18</f>
        <v>1510.9900000000007</v>
      </c>
      <c r="E15" s="246" t="s">
        <v>40</v>
      </c>
      <c r="F15" s="247">
        <f>HLOOKUP(E15,Cultures!$C$20:$AP$52,A15,0)</f>
        <v>1510.9900000000007</v>
      </c>
      <c r="G15" s="246" t="s">
        <v>40</v>
      </c>
      <c r="H15" s="247">
        <f>HLOOKUP(G15,Cultures!$C$20:$AP$52,A15,0)</f>
        <v>1510.9900000000007</v>
      </c>
      <c r="I15" s="435" t="s">
        <v>40</v>
      </c>
      <c r="J15" s="247">
        <f>HLOOKUP(I15,Cultures!$C$20:$AP$52,A15,0)</f>
        <v>1510.9900000000007</v>
      </c>
      <c r="K15" s="435" t="s">
        <v>40</v>
      </c>
      <c r="L15" s="247">
        <f>HLOOKUP(K15,Cultures!$C$20:$AP$52,A15,0)</f>
        <v>1510.9900000000007</v>
      </c>
      <c r="M15" s="78"/>
      <c r="N15" s="84"/>
      <c r="O15" s="78"/>
      <c r="P15" s="84"/>
      <c r="Q15" s="84"/>
      <c r="R15" s="84"/>
      <c r="S15" s="84"/>
    </row>
    <row r="16" spans="1:24" s="88" customFormat="1" x14ac:dyDescent="0.2">
      <c r="A16" s="78">
        <v>33</v>
      </c>
      <c r="B16" s="363">
        <v>2</v>
      </c>
      <c r="C16" s="435" t="str">
        <f>Rotation_Hide!D6</f>
        <v>Maïs</v>
      </c>
      <c r="D16" s="247">
        <f>Rotation_Hide!D18</f>
        <v>311.90499999999997</v>
      </c>
      <c r="E16" s="246" t="s">
        <v>36</v>
      </c>
      <c r="F16" s="247">
        <f>HLOOKUP(E16,Cultures!$C$20:$AP$52,A16,0)</f>
        <v>151.00000000000006</v>
      </c>
      <c r="G16" s="435" t="s">
        <v>36</v>
      </c>
      <c r="H16" s="247">
        <f>HLOOKUP(G16,Cultures!$C$20:$AP$52,A16,0)</f>
        <v>151.00000000000006</v>
      </c>
      <c r="I16" s="435" t="s">
        <v>44</v>
      </c>
      <c r="J16" s="247">
        <f>HLOOKUP(I16,Cultures!$C$20:$AP$52,A16,0)</f>
        <v>92.199999999999989</v>
      </c>
      <c r="K16" s="435" t="s">
        <v>42</v>
      </c>
      <c r="L16" s="247">
        <f>HLOOKUP(K16,Cultures!$C$20:$AP$52,A16,0)</f>
        <v>363.85249999999996</v>
      </c>
      <c r="M16" s="78"/>
      <c r="N16" s="84"/>
      <c r="O16" s="78"/>
      <c r="P16" s="84"/>
      <c r="Q16" s="84"/>
      <c r="R16" s="84"/>
      <c r="S16" s="84"/>
      <c r="T16" s="5"/>
      <c r="U16" s="5"/>
      <c r="V16" s="5"/>
      <c r="W16" s="5"/>
      <c r="X16" s="5"/>
    </row>
    <row r="17" spans="1:24" s="241" customFormat="1" ht="15.75" x14ac:dyDescent="0.2">
      <c r="A17" s="239"/>
      <c r="B17" s="205" t="s">
        <v>78</v>
      </c>
      <c r="C17" s="436"/>
      <c r="D17" s="249"/>
      <c r="E17" s="248"/>
      <c r="F17" s="249"/>
      <c r="G17" s="436"/>
      <c r="H17" s="249"/>
      <c r="I17" s="436"/>
      <c r="J17" s="249"/>
      <c r="K17" s="436"/>
      <c r="L17" s="249"/>
      <c r="M17" s="239"/>
      <c r="N17" s="240"/>
      <c r="O17" s="239"/>
      <c r="P17" s="240"/>
      <c r="Q17" s="240"/>
      <c r="R17" s="240"/>
      <c r="S17" s="240"/>
      <c r="T17" s="212"/>
      <c r="U17" s="212"/>
      <c r="V17" s="212"/>
      <c r="W17" s="212"/>
      <c r="X17" s="212"/>
    </row>
    <row r="18" spans="1:24" s="87" customFormat="1" ht="31.5" x14ac:dyDescent="0.2">
      <c r="A18" s="81"/>
      <c r="B18" s="21" t="s">
        <v>79</v>
      </c>
      <c r="C18" s="437" t="s">
        <v>76</v>
      </c>
      <c r="D18" s="128"/>
      <c r="E18" s="253" t="s">
        <v>77</v>
      </c>
      <c r="F18" s="128"/>
      <c r="G18" s="438" t="s">
        <v>77</v>
      </c>
      <c r="H18" s="128"/>
      <c r="I18" s="438" t="s">
        <v>77</v>
      </c>
      <c r="J18" s="128"/>
      <c r="K18" s="438" t="s">
        <v>77</v>
      </c>
      <c r="L18" s="128"/>
      <c r="M18" s="81"/>
      <c r="N18" s="86"/>
      <c r="O18" s="81"/>
      <c r="P18" s="86"/>
      <c r="Q18" s="86"/>
      <c r="R18" s="86"/>
      <c r="S18" s="86"/>
    </row>
    <row r="19" spans="1:24" s="5" customFormat="1" x14ac:dyDescent="0.2">
      <c r="A19" s="78">
        <v>33</v>
      </c>
      <c r="B19" s="363">
        <f>Rotation_Hide!E5</f>
        <v>1</v>
      </c>
      <c r="C19" s="435" t="str">
        <f>Rotation_Hide!E6</f>
        <v>Pommes de terre</v>
      </c>
      <c r="D19" s="247">
        <f>Rotation_Hide!E18</f>
        <v>1510.9900000000007</v>
      </c>
      <c r="E19" s="246" t="s">
        <v>30</v>
      </c>
      <c r="F19" s="247">
        <f>HLOOKUP(E19,Cultures!$C$20:$AP$52,A19,0)</f>
        <v>311.90499999999997</v>
      </c>
      <c r="G19" s="435" t="s">
        <v>40</v>
      </c>
      <c r="H19" s="247">
        <f>HLOOKUP(G19,Cultures!$C$20:$AP$52,A19,0)</f>
        <v>1510.9900000000007</v>
      </c>
      <c r="I19" s="435" t="s">
        <v>40</v>
      </c>
      <c r="J19" s="247">
        <f>HLOOKUP(I19,Cultures!$C$20:$AP$52,A19,0)</f>
        <v>1510.9900000000007</v>
      </c>
      <c r="K19" s="435" t="s">
        <v>40</v>
      </c>
      <c r="L19" s="247">
        <f>HLOOKUP(K19,Cultures!$C$20:$AP$52,A19,0)</f>
        <v>1510.9900000000007</v>
      </c>
      <c r="M19" s="78"/>
      <c r="N19" s="84"/>
      <c r="O19" s="78"/>
      <c r="P19" s="84"/>
      <c r="Q19" s="84"/>
      <c r="R19" s="84"/>
      <c r="S19" s="84"/>
    </row>
    <row r="20" spans="1:24" s="88" customFormat="1" x14ac:dyDescent="0.2">
      <c r="A20" s="78">
        <v>33</v>
      </c>
      <c r="B20" s="363">
        <v>2</v>
      </c>
      <c r="C20" s="435" t="str">
        <f>Rotation_Hide!F6</f>
        <v>Orge</v>
      </c>
      <c r="D20" s="247">
        <f>Rotation_Hide!F18</f>
        <v>215.78000000000003</v>
      </c>
      <c r="E20" s="246" t="s">
        <v>46</v>
      </c>
      <c r="F20" s="247">
        <f>HLOOKUP(E20,Cultures!$C$20:$AP$52,A20,0)</f>
        <v>285.08000000000004</v>
      </c>
      <c r="G20" s="435" t="s">
        <v>30</v>
      </c>
      <c r="H20" s="247">
        <f>HLOOKUP(G20,Cultures!$C$20:$AP$52,A20,0)</f>
        <v>311.90499999999997</v>
      </c>
      <c r="I20" s="435" t="s">
        <v>44</v>
      </c>
      <c r="J20" s="247">
        <f>HLOOKUP(I20,Cultures!$C$20:$AP$52,A20,0)</f>
        <v>92.199999999999989</v>
      </c>
      <c r="K20" s="435" t="s">
        <v>27</v>
      </c>
      <c r="L20" s="247">
        <f>HLOOKUP(K20,Cultures!$C$20:$AP$52,A20,0)</f>
        <v>-185.03419103313843</v>
      </c>
      <c r="M20" s="78"/>
      <c r="N20" s="84"/>
      <c r="O20" s="78"/>
      <c r="P20" s="84"/>
      <c r="Q20" s="84"/>
      <c r="R20" s="84"/>
      <c r="S20" s="84"/>
      <c r="T20" s="5"/>
      <c r="U20" s="5"/>
      <c r="V20" s="5"/>
      <c r="W20" s="5"/>
      <c r="X20" s="5"/>
    </row>
    <row r="21" spans="1:24" s="88" customFormat="1" ht="30" x14ac:dyDescent="0.2">
      <c r="A21" s="78">
        <v>33</v>
      </c>
      <c r="B21" s="363">
        <v>3</v>
      </c>
      <c r="C21" s="435" t="str">
        <f>Rotation_Hide!G6</f>
        <v>Culture fourragère (An 1)</v>
      </c>
      <c r="D21" s="247">
        <f>Rotation_Hide!G18</f>
        <v>-391.65776478232618</v>
      </c>
      <c r="E21" s="246" t="s">
        <v>25</v>
      </c>
      <c r="F21" s="247">
        <f>HLOOKUP(E21,Cultures!$C$20:$AP$52,A21,0)</f>
        <v>215.78000000000003</v>
      </c>
      <c r="G21" s="435" t="s">
        <v>32</v>
      </c>
      <c r="H21" s="247">
        <f>HLOOKUP(G21,Cultures!$C$20:$AP$52,A21,0)</f>
        <v>-391.65776478232618</v>
      </c>
      <c r="I21" s="435" t="s">
        <v>36</v>
      </c>
      <c r="J21" s="247">
        <f>HLOOKUP(I21,Cultures!$C$20:$AP$52,A21,0)</f>
        <v>151.00000000000006</v>
      </c>
      <c r="K21" s="435" t="s">
        <v>30</v>
      </c>
      <c r="L21" s="247">
        <f>HLOOKUP(K21,Cultures!$C$20:$AP$52,A21,0)</f>
        <v>311.90499999999997</v>
      </c>
      <c r="M21" s="78"/>
      <c r="N21" s="84"/>
      <c r="O21" s="78"/>
      <c r="P21" s="84"/>
      <c r="Q21" s="84"/>
      <c r="R21" s="84"/>
      <c r="S21" s="84"/>
      <c r="T21" s="5"/>
      <c r="U21" s="5"/>
      <c r="V21" s="5"/>
      <c r="W21" s="5"/>
      <c r="X21" s="5"/>
    </row>
    <row r="22" spans="1:24" s="241" customFormat="1" ht="15.75" x14ac:dyDescent="0.2">
      <c r="A22" s="239"/>
      <c r="B22" s="205" t="s">
        <v>80</v>
      </c>
      <c r="C22" s="436"/>
      <c r="D22" s="249"/>
      <c r="E22" s="248"/>
      <c r="F22" s="249"/>
      <c r="G22" s="436"/>
      <c r="H22" s="249"/>
      <c r="I22" s="436"/>
      <c r="J22" s="249"/>
      <c r="K22" s="436"/>
      <c r="L22" s="249"/>
      <c r="M22" s="239"/>
      <c r="N22" s="240"/>
      <c r="O22" s="239"/>
      <c r="P22" s="240"/>
      <c r="Q22" s="240"/>
      <c r="R22" s="240"/>
      <c r="S22" s="240"/>
      <c r="T22" s="212"/>
      <c r="U22" s="212"/>
      <c r="V22" s="212"/>
      <c r="W22" s="212"/>
      <c r="X22" s="212"/>
    </row>
    <row r="23" spans="1:24" s="32" customFormat="1" ht="31.5" x14ac:dyDescent="0.2">
      <c r="A23" s="81"/>
      <c r="B23" s="21" t="s">
        <v>79</v>
      </c>
      <c r="C23" s="437" t="s">
        <v>76</v>
      </c>
      <c r="D23" s="128"/>
      <c r="E23" s="253" t="s">
        <v>77</v>
      </c>
      <c r="F23" s="128"/>
      <c r="G23" s="438" t="s">
        <v>77</v>
      </c>
      <c r="H23" s="128"/>
      <c r="I23" s="438" t="s">
        <v>77</v>
      </c>
      <c r="J23" s="128"/>
      <c r="K23" s="438" t="s">
        <v>77</v>
      </c>
      <c r="L23" s="128"/>
      <c r="M23" s="81"/>
      <c r="N23" s="84"/>
      <c r="O23" s="81"/>
    </row>
    <row r="24" spans="1:24" s="32" customFormat="1" x14ac:dyDescent="0.2">
      <c r="A24" s="78">
        <v>33</v>
      </c>
      <c r="B24" s="363">
        <f>Rotation_Hide!E5</f>
        <v>1</v>
      </c>
      <c r="C24" s="435" t="str">
        <f>Rotation_Hide!H6</f>
        <v>Pommes de terre</v>
      </c>
      <c r="D24" s="247">
        <f>Rotation_Hide!H18</f>
        <v>1510.9900000000007</v>
      </c>
      <c r="E24" s="246" t="s">
        <v>40</v>
      </c>
      <c r="F24" s="247">
        <f>HLOOKUP(E24,Cultures!$C$20:$AP$52,A24,0)</f>
        <v>1510.9900000000007</v>
      </c>
      <c r="G24" s="435" t="s">
        <v>40</v>
      </c>
      <c r="H24" s="247">
        <f>HLOOKUP(G24,Cultures!$C$20:$AP$52,A24,0)</f>
        <v>1510.9900000000007</v>
      </c>
      <c r="I24" s="435" t="s">
        <v>40</v>
      </c>
      <c r="J24" s="247">
        <f>HLOOKUP(I24,Cultures!$C$20:$AP$52,A24,0)</f>
        <v>1510.9900000000007</v>
      </c>
      <c r="K24" s="435" t="s">
        <v>40</v>
      </c>
      <c r="L24" s="247">
        <f>HLOOKUP(K24,Cultures!$C$20:$AP$52,A24,0)</f>
        <v>1510.9900000000007</v>
      </c>
      <c r="M24" s="78"/>
      <c r="N24" s="84"/>
      <c r="O24" s="78"/>
    </row>
    <row r="25" spans="1:24" s="32" customFormat="1" x14ac:dyDescent="0.2">
      <c r="A25" s="78">
        <v>33</v>
      </c>
      <c r="B25" s="363">
        <v>2</v>
      </c>
      <c r="C25" s="435" t="str">
        <f>Rotation_Hide!I6</f>
        <v>Maïs</v>
      </c>
      <c r="D25" s="247">
        <f>Rotation_Hide!I18</f>
        <v>311.90499999999997</v>
      </c>
      <c r="E25" s="246" t="s">
        <v>44</v>
      </c>
      <c r="F25" s="247">
        <f>HLOOKUP(E25,Cultures!$C$20:$AP$52,A25,0)</f>
        <v>92.199999999999989</v>
      </c>
      <c r="G25" s="435" t="s">
        <v>38</v>
      </c>
      <c r="H25" s="247">
        <f>HLOOKUP(G25,Cultures!$C$20:$AP$52,A25,0)</f>
        <v>39.81</v>
      </c>
      <c r="I25" s="435" t="s">
        <v>44</v>
      </c>
      <c r="J25" s="247">
        <f>HLOOKUP(I25,Cultures!$C$20:$AP$52,A25,0)</f>
        <v>92.199999999999989</v>
      </c>
      <c r="K25" s="435" t="s">
        <v>42</v>
      </c>
      <c r="L25" s="247">
        <f>HLOOKUP(K25,Cultures!$C$20:$AP$52,A25,0)</f>
        <v>363.85249999999996</v>
      </c>
      <c r="M25" s="78"/>
      <c r="N25" s="84"/>
      <c r="O25" s="78"/>
    </row>
    <row r="26" spans="1:24" s="32" customFormat="1" ht="30" x14ac:dyDescent="0.2">
      <c r="A26" s="78">
        <v>33</v>
      </c>
      <c r="B26" s="363">
        <v>3</v>
      </c>
      <c r="C26" s="435" t="str">
        <f>Rotation_Hide!J6</f>
        <v>Blé (hiver)</v>
      </c>
      <c r="D26" s="247">
        <f>Rotation_Hide!J18</f>
        <v>285.08000000000004</v>
      </c>
      <c r="E26" s="246" t="s">
        <v>30</v>
      </c>
      <c r="F26" s="247">
        <f>HLOOKUP(E26,Cultures!$C$20:$AP$52,A26,0)</f>
        <v>311.90499999999997</v>
      </c>
      <c r="G26" s="435" t="s">
        <v>32</v>
      </c>
      <c r="H26" s="247">
        <f>HLOOKUP(G26,Cultures!$C$20:$AP$52,A26,0)</f>
        <v>-391.65776478232618</v>
      </c>
      <c r="I26" s="435" t="s">
        <v>36</v>
      </c>
      <c r="J26" s="247">
        <f>HLOOKUP(I26,Cultures!$C$20:$AP$52,A26,0)</f>
        <v>151.00000000000006</v>
      </c>
      <c r="K26" s="435" t="s">
        <v>38</v>
      </c>
      <c r="L26" s="247">
        <f>HLOOKUP(K26,Cultures!$C$20:$AP$52,A26,0)</f>
        <v>39.81</v>
      </c>
      <c r="M26" s="78"/>
      <c r="N26" s="84"/>
      <c r="O26" s="78"/>
    </row>
    <row r="27" spans="1:24" s="32" customFormat="1" ht="30" x14ac:dyDescent="0.2">
      <c r="A27" s="78">
        <v>33</v>
      </c>
      <c r="B27" s="363">
        <v>4</v>
      </c>
      <c r="C27" s="435" t="str">
        <f>Rotation_Hide!K6</f>
        <v>Culture fourragère (An 1)</v>
      </c>
      <c r="D27" s="250">
        <f>Rotation_Hide!K18</f>
        <v>-391.65776478232618</v>
      </c>
      <c r="E27" s="246" t="s">
        <v>46</v>
      </c>
      <c r="F27" s="247">
        <f>HLOOKUP(E27,Cultures!$C$20:$AP$52,A27,0)</f>
        <v>285.08000000000004</v>
      </c>
      <c r="G27" s="439" t="s">
        <v>27</v>
      </c>
      <c r="H27" s="254">
        <f>HLOOKUP(G27,Cultures!$C$20:$AP$52,A27,0)</f>
        <v>-185.03419103313843</v>
      </c>
      <c r="I27" s="439" t="s">
        <v>32</v>
      </c>
      <c r="J27" s="254">
        <f>HLOOKUP(I27,Cultures!$C$20:$AP$52,A27,0)</f>
        <v>-391.65776478232618</v>
      </c>
      <c r="K27" s="439" t="s">
        <v>32</v>
      </c>
      <c r="L27" s="254">
        <f>HLOOKUP(K27,Cultures!$C$20:$AP$52,A27,0)</f>
        <v>-391.65776478232618</v>
      </c>
      <c r="M27" s="78"/>
      <c r="N27" s="84"/>
      <c r="O27" s="78"/>
    </row>
    <row r="28" spans="1:24" s="85" customFormat="1" hidden="1" x14ac:dyDescent="0.2">
      <c r="A28" s="78"/>
      <c r="B28" s="200"/>
      <c r="C28" s="364"/>
      <c r="D28" s="365"/>
      <c r="E28" s="364"/>
      <c r="F28" s="365"/>
      <c r="G28" s="200"/>
      <c r="H28" s="200"/>
      <c r="I28" s="200"/>
      <c r="J28" s="200"/>
      <c r="K28" s="200"/>
      <c r="L28" s="200"/>
      <c r="M28" s="78"/>
      <c r="N28" s="84"/>
      <c r="O28" s="78"/>
      <c r="P28" s="5"/>
      <c r="Q28" s="5"/>
      <c r="R28" s="5"/>
      <c r="S28" s="5"/>
      <c r="T28" s="5"/>
      <c r="U28" s="5"/>
      <c r="V28" s="5"/>
      <c r="W28" s="5"/>
      <c r="X28" s="5"/>
    </row>
    <row r="29" spans="1:24" s="85" customFormat="1" hidden="1" x14ac:dyDescent="0.2">
      <c r="A29" s="78"/>
      <c r="B29" s="200" t="s">
        <v>81</v>
      </c>
      <c r="C29" s="364"/>
      <c r="D29" s="365"/>
      <c r="E29" s="364"/>
      <c r="F29" s="365"/>
      <c r="G29" s="200"/>
      <c r="H29" s="200"/>
      <c r="I29" s="200"/>
      <c r="J29" s="200"/>
      <c r="K29" s="200"/>
      <c r="L29" s="200"/>
      <c r="M29" s="78"/>
      <c r="N29" s="84"/>
      <c r="O29" s="78"/>
      <c r="P29" s="84"/>
      <c r="Q29" s="84"/>
      <c r="R29" s="84"/>
      <c r="S29" s="84"/>
      <c r="T29" s="5"/>
      <c r="U29" s="5"/>
      <c r="V29" s="5"/>
      <c r="W29" s="5"/>
      <c r="X29" s="5"/>
    </row>
    <row r="30" spans="1:24" s="212" customFormat="1" ht="15.75" hidden="1" x14ac:dyDescent="0.2">
      <c r="A30" s="239"/>
      <c r="B30" s="205" t="s">
        <v>82</v>
      </c>
      <c r="C30" s="248"/>
      <c r="D30" s="249"/>
      <c r="E30" s="248"/>
      <c r="F30" s="249"/>
      <c r="G30" s="242"/>
      <c r="H30" s="242"/>
      <c r="I30" s="242"/>
      <c r="J30" s="242"/>
      <c r="K30" s="242"/>
      <c r="L30" s="242"/>
      <c r="M30" s="239"/>
      <c r="N30" s="240"/>
      <c r="O30" s="239"/>
      <c r="P30" s="239"/>
      <c r="Q30" s="239"/>
      <c r="R30" s="240"/>
      <c r="S30" s="240"/>
      <c r="T30" s="240"/>
      <c r="U30" s="240"/>
    </row>
    <row r="31" spans="1:24" s="145" customFormat="1" ht="47.25" hidden="1" x14ac:dyDescent="0.2">
      <c r="A31" s="143"/>
      <c r="B31" s="7" t="s">
        <v>83</v>
      </c>
      <c r="C31" s="251" t="s">
        <v>84</v>
      </c>
      <c r="D31" s="252" t="s">
        <v>85</v>
      </c>
      <c r="E31" s="251" t="s">
        <v>86</v>
      </c>
      <c r="F31" s="252" t="s">
        <v>87</v>
      </c>
      <c r="G31" s="366"/>
      <c r="H31" s="366"/>
      <c r="I31" s="366"/>
      <c r="J31" s="366"/>
      <c r="K31" s="366"/>
      <c r="L31" s="366"/>
      <c r="M31" s="78"/>
      <c r="N31" s="84"/>
      <c r="O31" s="143"/>
      <c r="P31" s="78"/>
      <c r="Q31" s="143"/>
      <c r="R31" s="144"/>
      <c r="S31" s="144"/>
      <c r="T31" s="144"/>
      <c r="U31" s="144"/>
    </row>
    <row r="32" spans="1:24" s="5" customFormat="1" hidden="1" x14ac:dyDescent="0.2">
      <c r="A32" s="78"/>
      <c r="B32" s="367" t="str">
        <f>C15&amp;"-"&amp;C16</f>
        <v>Pommes de terre-Maïs</v>
      </c>
      <c r="C32" s="368">
        <f>NPV(Comparaison!$C$89,D15:D16)</f>
        <v>1723.8190654205612</v>
      </c>
      <c r="D32" s="369" t="s">
        <v>88</v>
      </c>
      <c r="E32" s="368">
        <f>NPV(Comparaison!$C$89,$D$15,$D$16,$D$15,$D$16,$D$15,$D$16,$D$15,$D$16,$D$15,$D$16,$D$15,$D$16)</f>
        <v>8251.0753221889918</v>
      </c>
      <c r="F32" s="369" t="s">
        <v>88</v>
      </c>
      <c r="G32" s="200"/>
      <c r="H32" s="200"/>
      <c r="I32" s="200"/>
      <c r="J32" s="200"/>
      <c r="K32" s="200"/>
      <c r="L32" s="200"/>
      <c r="M32" s="78"/>
      <c r="N32" s="84"/>
      <c r="O32" s="78"/>
      <c r="P32" s="78"/>
      <c r="Q32" s="78"/>
      <c r="R32" s="84"/>
      <c r="S32" s="84"/>
      <c r="T32" s="84"/>
      <c r="U32" s="84"/>
    </row>
    <row r="33" spans="1:21" s="5" customFormat="1" hidden="1" x14ac:dyDescent="0.2">
      <c r="A33" s="78"/>
      <c r="B33" s="367" t="str">
        <f>E15&amp;"-"&amp;E16</f>
        <v>Pommes de terre-Moutarde (brune)</v>
      </c>
      <c r="C33" s="368">
        <f>NPV(Comparaison!$C$89,F15:F16)</f>
        <v>1577.6005642414191</v>
      </c>
      <c r="D33" s="370">
        <f>(C33-$C$32)/$C$32</f>
        <v>-8.4822417916273068E-2</v>
      </c>
      <c r="E33" s="368">
        <f>NPV(Comparaison!$C$89,F15,F16,F15,F16,F15,F16,F15,F16,F15,F16,F15,F16)</f>
        <v>7551.1991629516297</v>
      </c>
      <c r="F33" s="370">
        <f>(E33-$E$32)/$E$32</f>
        <v>-8.4822417916273068E-2</v>
      </c>
      <c r="G33" s="200"/>
      <c r="H33" s="200"/>
      <c r="I33" s="200"/>
      <c r="J33" s="200"/>
      <c r="K33" s="200"/>
      <c r="L33" s="200"/>
      <c r="M33" s="78"/>
      <c r="N33" s="84"/>
      <c r="O33" s="78"/>
      <c r="P33" s="78"/>
      <c r="Q33" s="78"/>
      <c r="R33" s="84"/>
      <c r="S33" s="84"/>
      <c r="T33" s="84"/>
      <c r="U33" s="84"/>
    </row>
    <row r="34" spans="1:21" s="5" customFormat="1" hidden="1" x14ac:dyDescent="0.2">
      <c r="A34" s="78"/>
      <c r="B34" s="367" t="str">
        <f>G15&amp;"-"&amp;G16</f>
        <v>Pommes de terre-Moutarde (brune)</v>
      </c>
      <c r="C34" s="368">
        <f>NPV(Comparaison!$C$89,H15:H16)</f>
        <v>1577.6005642414191</v>
      </c>
      <c r="D34" s="370">
        <f t="shared" ref="D34:D36" si="0">(C34-$C$32)/$C$32</f>
        <v>-8.4822417916273068E-2</v>
      </c>
      <c r="E34" s="368">
        <f>NPV(Comparaison!$C$89,H15,H16,H15,H16,H15,H16,H15,H16,H15,H16,H15,H16)</f>
        <v>7551.1991629516297</v>
      </c>
      <c r="F34" s="370">
        <f t="shared" ref="F34:F46" si="1">(E34-$E$32)/$E$32</f>
        <v>-8.4822417916273068E-2</v>
      </c>
      <c r="G34" s="200"/>
      <c r="H34" s="200"/>
      <c r="I34" s="200"/>
      <c r="J34" s="200"/>
      <c r="K34" s="200"/>
      <c r="L34" s="200"/>
      <c r="M34" s="78"/>
      <c r="N34" s="84"/>
      <c r="O34" s="78"/>
      <c r="P34" s="78"/>
      <c r="Q34" s="78"/>
      <c r="R34" s="84"/>
      <c r="S34" s="84"/>
      <c r="T34" s="84"/>
      <c r="U34" s="84"/>
    </row>
    <row r="35" spans="1:21" s="5" customFormat="1" hidden="1" x14ac:dyDescent="0.2">
      <c r="A35" s="78"/>
      <c r="B35" s="367" t="str">
        <f>I15&amp;"-"&amp;I16</f>
        <v>Pommes de terre-Blé (printemps)</v>
      </c>
      <c r="C35" s="368">
        <f>NPV(Comparaison!$C$89,J15:J16)</f>
        <v>1524.1674958511667</v>
      </c>
      <c r="D35" s="370">
        <f t="shared" si="0"/>
        <v>-0.115819330215312</v>
      </c>
      <c r="E35" s="368">
        <f>NPV(Comparaison!$C$89,J15,J16,J15,J16,J15,J16,J15,J16,J15,J16,J15,J16)</f>
        <v>7295.4413048169718</v>
      </c>
      <c r="F35" s="370">
        <f t="shared" si="1"/>
        <v>-0.11581933021531216</v>
      </c>
      <c r="G35" s="200"/>
      <c r="H35" s="200"/>
      <c r="I35" s="200"/>
      <c r="J35" s="200"/>
      <c r="K35" s="200"/>
      <c r="L35" s="200"/>
      <c r="M35" s="78"/>
      <c r="N35" s="84"/>
      <c r="O35" s="78"/>
      <c r="P35" s="78"/>
      <c r="Q35" s="78"/>
      <c r="R35" s="84"/>
      <c r="S35" s="84"/>
      <c r="T35" s="84"/>
      <c r="U35" s="84"/>
    </row>
    <row r="36" spans="1:21" s="5" customFormat="1" hidden="1" x14ac:dyDescent="0.2">
      <c r="A36" s="78"/>
      <c r="B36" s="367" t="str">
        <f>K15&amp;"-"&amp;K16</f>
        <v>Pommes de terre-Soja</v>
      </c>
      <c r="C36" s="368">
        <f>NPV(Comparaison!$C$89,L15:L16)</f>
        <v>1771.0250912743475</v>
      </c>
      <c r="D36" s="370">
        <f t="shared" si="0"/>
        <v>2.7384559551944278E-2</v>
      </c>
      <c r="E36" s="368">
        <f>NPV(Comparaison!$C$89,L15,L16,L15,L16,L15,L16,L15,L16,L15,L16,L15,L16)</f>
        <v>8477.0273857170541</v>
      </c>
      <c r="F36" s="370">
        <f t="shared" si="1"/>
        <v>2.7384559551944288E-2</v>
      </c>
      <c r="G36" s="200"/>
      <c r="H36" s="200"/>
      <c r="I36" s="200"/>
      <c r="J36" s="200"/>
      <c r="K36" s="200"/>
      <c r="L36" s="200"/>
      <c r="M36" s="78"/>
      <c r="N36" s="84"/>
      <c r="O36" s="78"/>
      <c r="P36" s="78"/>
      <c r="Q36" s="78"/>
      <c r="R36" s="84"/>
      <c r="S36" s="84"/>
      <c r="T36" s="84"/>
      <c r="U36" s="84"/>
    </row>
    <row r="37" spans="1:21" s="5" customFormat="1" ht="30" hidden="1" x14ac:dyDescent="0.2">
      <c r="A37" s="78"/>
      <c r="B37" s="367" t="str">
        <f>C19&amp;"-"&amp;C20&amp;"-"&amp;C21</f>
        <v>Pommes de terre-Orge-Culture fourragère (An 1)</v>
      </c>
      <c r="C37" s="368">
        <f>NPV(Comparaison!$C$89,D19:D21)</f>
        <v>1297.1896371073326</v>
      </c>
      <c r="D37" s="369" t="s">
        <v>88</v>
      </c>
      <c r="E37" s="368">
        <f>NPV(Comparaison!$C$89,D$19,D$20,D$21,D$19,D$20,D$21,D$19,D$20,D$21,D$19,D$20,D$21)</f>
        <v>4237.5586803581091</v>
      </c>
      <c r="F37" s="370">
        <f t="shared" si="1"/>
        <v>-0.48642346422867289</v>
      </c>
      <c r="G37" s="200"/>
      <c r="H37" s="200"/>
      <c r="I37" s="200"/>
      <c r="J37" s="200"/>
      <c r="K37" s="200"/>
      <c r="L37" s="200"/>
      <c r="M37" s="78"/>
      <c r="N37" s="84"/>
      <c r="O37" s="78"/>
      <c r="P37" s="78"/>
      <c r="Q37" s="78"/>
      <c r="R37" s="84"/>
      <c r="S37" s="84"/>
      <c r="T37" s="84"/>
      <c r="U37" s="84"/>
    </row>
    <row r="38" spans="1:21" s="5" customFormat="1" hidden="1" x14ac:dyDescent="0.2">
      <c r="A38" s="78"/>
      <c r="B38" s="367" t="str">
        <f>E19&amp;"-"&amp;E20&amp;"-"&amp;E21</f>
        <v>Maïs-Blé (hiver)-Orge</v>
      </c>
      <c r="C38" s="368">
        <f>NPV(Comparaison!$C$89,F19:F21)</f>
        <v>743.31148838857087</v>
      </c>
      <c r="D38" s="370">
        <f>(C38-$C$37)/$C$37</f>
        <v>-0.42698317414397641</v>
      </c>
      <c r="E38" s="368">
        <f>NPV(Comparaison!$C$89,F19,F20,F21,F19,F20,F21,F19,F20,F21,F19,F20,F21)</f>
        <v>2428.192424397444</v>
      </c>
      <c r="F38" s="370">
        <f t="shared" si="1"/>
        <v>-0.70571200363818154</v>
      </c>
      <c r="G38" s="200"/>
      <c r="H38" s="200"/>
      <c r="I38" s="200"/>
      <c r="J38" s="200"/>
      <c r="K38" s="200"/>
      <c r="L38" s="200"/>
      <c r="M38" s="78"/>
      <c r="N38" s="84"/>
      <c r="O38" s="78"/>
      <c r="P38" s="78"/>
      <c r="Q38" s="78"/>
      <c r="R38" s="84"/>
      <c r="S38" s="84"/>
      <c r="T38" s="84"/>
      <c r="U38" s="84"/>
    </row>
    <row r="39" spans="1:21" s="5" customFormat="1" ht="30" hidden="1" x14ac:dyDescent="0.2">
      <c r="A39" s="78"/>
      <c r="B39" s="367" t="str">
        <f>G19&amp;"-"&amp;G20&amp;"-"&amp;G21</f>
        <v>Pommes de terre-Maïs-Culture fourragère (An 1)</v>
      </c>
      <c r="C39" s="368">
        <f>NPV(Comparaison!$C$89,H19:H21)</f>
        <v>1384.5408904919075</v>
      </c>
      <c r="D39" s="370">
        <f t="shared" ref="D39:D41" si="2">(C39-$C$37)/$C$37</f>
        <v>6.7338846137688674E-2</v>
      </c>
      <c r="E39" s="368">
        <f>NPV(Comparaison!$C$89,H19,H20,H21,H19,H20,H21,H19,H20,H21,H19,H20,H21)</f>
        <v>4522.9109923341703</v>
      </c>
      <c r="F39" s="370">
        <f t="shared" si="1"/>
        <v>-0.45183981290644043</v>
      </c>
      <c r="G39" s="200"/>
      <c r="H39" s="200"/>
      <c r="I39" s="200"/>
      <c r="J39" s="200"/>
      <c r="K39" s="200"/>
      <c r="L39" s="200"/>
      <c r="M39" s="78"/>
      <c r="N39" s="84"/>
      <c r="O39" s="78"/>
      <c r="P39" s="78"/>
      <c r="Q39" s="78"/>
      <c r="R39" s="84"/>
      <c r="S39" s="84"/>
      <c r="T39" s="84"/>
      <c r="U39" s="84"/>
    </row>
    <row r="40" spans="1:21" s="5" customFormat="1" ht="30" hidden="1" x14ac:dyDescent="0.2">
      <c r="A40" s="78"/>
      <c r="B40" s="367" t="str">
        <f>I19&amp;"-"&amp;I20&amp;"-"&amp;I21</f>
        <v>Pommes de terre-Blé (printemps)-Moutarde (brune)</v>
      </c>
      <c r="C40" s="368">
        <f>NPV(Comparaison!$C$89,J19:J21)</f>
        <v>1654.9730332894442</v>
      </c>
      <c r="D40" s="370">
        <f t="shared" si="2"/>
        <v>0.27581425718135588</v>
      </c>
      <c r="E40" s="368">
        <f>NPV(Comparaison!$C$89,J19,J20,J21,J19,J20,J21,J19,J20,J21,J19,J20,J21)</f>
        <v>5406.3377800434882</v>
      </c>
      <c r="F40" s="370">
        <f t="shared" si="1"/>
        <v>-0.34477173350913021</v>
      </c>
      <c r="G40" s="200"/>
      <c r="H40" s="200"/>
      <c r="I40" s="200"/>
      <c r="J40" s="200"/>
      <c r="K40" s="200"/>
      <c r="L40" s="200"/>
      <c r="M40" s="78"/>
      <c r="N40" s="84"/>
      <c r="O40" s="78"/>
      <c r="P40" s="78"/>
      <c r="Q40" s="78"/>
      <c r="R40" s="84"/>
      <c r="S40" s="84"/>
      <c r="T40" s="84"/>
      <c r="U40" s="84"/>
    </row>
    <row r="41" spans="1:21" s="5" customFormat="1" hidden="1" x14ac:dyDescent="0.2">
      <c r="A41" s="78"/>
      <c r="B41" s="367" t="str">
        <f>K19&amp;"-"&amp;K20&amp;"-"&amp;K21</f>
        <v>Pommes de terre-Sarrasin-Maïs</v>
      </c>
      <c r="C41" s="368">
        <f>NPV(Comparaison!$C$89,L19:L21)</f>
        <v>1542.4290729750401</v>
      </c>
      <c r="D41" s="370">
        <f t="shared" si="2"/>
        <v>0.18905442107491627</v>
      </c>
      <c r="E41" s="368">
        <f>NPV(Comparaison!$C$89,L19,L20,L21,L19,L20,L21,L19,L20,L21,L19,L20,L21)</f>
        <v>5038.6878834441977</v>
      </c>
      <c r="F41" s="370">
        <f t="shared" si="1"/>
        <v>-0.3893295495807636</v>
      </c>
      <c r="G41" s="200"/>
      <c r="H41" s="200"/>
      <c r="I41" s="200"/>
      <c r="J41" s="200"/>
      <c r="K41" s="200"/>
      <c r="L41" s="200"/>
      <c r="M41" s="78"/>
      <c r="N41" s="84"/>
      <c r="O41" s="78"/>
      <c r="P41" s="78"/>
      <c r="Q41" s="78"/>
      <c r="R41" s="84"/>
      <c r="S41" s="84"/>
      <c r="T41" s="84"/>
      <c r="U41" s="84"/>
    </row>
    <row r="42" spans="1:21" s="32" customFormat="1" ht="30" hidden="1" x14ac:dyDescent="0.2">
      <c r="A42" s="78"/>
      <c r="B42" s="367" t="str">
        <f>C24&amp;"-"&amp;C25&amp;"-"&amp;C26&amp;"-"&amp;C27</f>
        <v>Pommes de terre-Maïs-Blé (hiver)-Culture fourragère (An 1)</v>
      </c>
      <c r="C42" s="368">
        <f>NPV(Comparaison!$C$89,D24:D27)</f>
        <v>1647.3489354044457</v>
      </c>
      <c r="D42" s="369" t="s">
        <v>88</v>
      </c>
      <c r="E42" s="368">
        <f>NPV(Comparaison!$C$89,D$24,D25,D26,D27,D$24,D25,D26,D27,D$24,D25,D26,D27)</f>
        <v>4131.0548487029182</v>
      </c>
      <c r="F42" s="370">
        <f t="shared" si="1"/>
        <v>-0.49933133714176803</v>
      </c>
      <c r="G42" s="200"/>
      <c r="H42" s="200"/>
      <c r="I42" s="200"/>
      <c r="J42" s="200"/>
      <c r="K42" s="200"/>
      <c r="L42" s="200"/>
      <c r="M42" s="78"/>
      <c r="N42" s="84"/>
      <c r="O42" s="78"/>
      <c r="P42" s="78"/>
      <c r="Q42" s="78"/>
    </row>
    <row r="43" spans="1:21" s="32" customFormat="1" ht="30" hidden="1" x14ac:dyDescent="0.2">
      <c r="A43" s="78"/>
      <c r="B43" s="367" t="str">
        <f>E24&amp;"-"&amp;E25&amp;"-"&amp;E26&amp;"-"&amp;E27</f>
        <v>Pommes de terre-Blé (printemps)-Maïs-Blé (hiver)</v>
      </c>
      <c r="C43" s="368">
        <f>NPV(Comparaison!$C$89,F24:F27)</f>
        <v>2029.772915797173</v>
      </c>
      <c r="D43" s="370">
        <f>(C43-$C$42)/$C$42</f>
        <v>0.23214509820825377</v>
      </c>
      <c r="E43" s="368">
        <f>NPV(Comparaison!$C$89,F$24,F25,F26,F27,F$24,F25,F26,F27,F$24,F25,F26,F27)</f>
        <v>5090.0589822587381</v>
      </c>
      <c r="F43" s="370">
        <f t="shared" si="1"/>
        <v>-0.38310356123274891</v>
      </c>
      <c r="G43" s="200"/>
      <c r="H43" s="200"/>
      <c r="I43" s="200"/>
      <c r="J43" s="200"/>
      <c r="K43" s="200"/>
      <c r="L43" s="200"/>
      <c r="M43" s="78"/>
      <c r="N43" s="84"/>
      <c r="O43" s="78"/>
      <c r="P43" s="78"/>
      <c r="Q43" s="78"/>
    </row>
    <row r="44" spans="1:21" s="32" customFormat="1" ht="30" hidden="1" x14ac:dyDescent="0.2">
      <c r="A44" s="78"/>
      <c r="B44" s="367" t="str">
        <f>G24&amp;"-"&amp;G25&amp;"-"&amp;G26&amp;"-"&amp;G27</f>
        <v>Pommes de terre-Avoine-Culture fourragère (An 1)-Sarrasin</v>
      </c>
      <c r="C44" s="368">
        <f>NPV(Comparaison!$C$89,H24:H27)</f>
        <v>984.48322185431948</v>
      </c>
      <c r="D44" s="370">
        <f t="shared" ref="D44:D46" si="3">(C44-$C$42)/$C$42</f>
        <v>-0.4023833076915086</v>
      </c>
      <c r="E44" s="368">
        <f>NPV(Comparaison!$C$89,H$24,H25,H26,H27,H$24,H25,H26,H27,H$24,H25,H26,H27)</f>
        <v>2468.7873344267928</v>
      </c>
      <c r="F44" s="370">
        <f t="shared" si="1"/>
        <v>-0.70079204976014819</v>
      </c>
      <c r="G44" s="200"/>
      <c r="H44" s="200"/>
      <c r="I44" s="200"/>
      <c r="J44" s="200"/>
      <c r="K44" s="200"/>
      <c r="L44" s="200"/>
      <c r="M44" s="78"/>
      <c r="N44" s="84"/>
      <c r="O44" s="78"/>
      <c r="P44" s="78"/>
      <c r="Q44" s="78"/>
    </row>
    <row r="45" spans="1:21" s="32" customFormat="1" ht="30" hidden="1" x14ac:dyDescent="0.2">
      <c r="A45" s="78"/>
      <c r="B45" s="367" t="str">
        <f>I24&amp;"-"&amp;I25&amp;"-"&amp;I26&amp;"-"&amp;I27</f>
        <v>Pommes de terre-Blé (printemps)-Moutarde (brune)-Culture fourragère (An 1)</v>
      </c>
      <c r="C45" s="368">
        <f>NPV(Comparaison!$C$89,J24:J27)</f>
        <v>1331.5489786845594</v>
      </c>
      <c r="D45" s="370">
        <f t="shared" si="3"/>
        <v>-0.19170192175609307</v>
      </c>
      <c r="E45" s="368">
        <f>NPV(Comparaison!$C$89,J$24,J25,J26,J27,J$24,J25,J26,J27,J$24,J25,J26,J27)</f>
        <v>3339.1236953267417</v>
      </c>
      <c r="F45" s="370">
        <f t="shared" si="1"/>
        <v>-0.59531048197474468</v>
      </c>
      <c r="G45" s="200"/>
      <c r="H45" s="200"/>
      <c r="I45" s="200"/>
      <c r="J45" s="200"/>
      <c r="K45" s="200"/>
      <c r="L45" s="200"/>
      <c r="M45" s="78"/>
      <c r="N45" s="84"/>
      <c r="O45" s="78"/>
      <c r="P45" s="78"/>
      <c r="Q45" s="78"/>
    </row>
    <row r="46" spans="1:21" s="32" customFormat="1" ht="30" hidden="1" x14ac:dyDescent="0.2">
      <c r="A46" s="78"/>
      <c r="B46" s="367" t="str">
        <f>K24&amp;"-"&amp;K25&amp;"-"&amp;K26&amp;"-"&amp;K27</f>
        <v>Pommes de terre-Soja-Avoine-Culture fourragère (An 1)</v>
      </c>
      <c r="C46" s="368">
        <f>NPV(Comparaison!$C$89,L24:L27)</f>
        <v>1482.0869204139517</v>
      </c>
      <c r="D46" s="370">
        <f t="shared" si="3"/>
        <v>-0.10031998166188148</v>
      </c>
      <c r="E46" s="368">
        <f>NPV(Comparaison!$C$89,L$24,L25,L26,L27,L$24,L25,L26,L27,L$24,L25,L26,L27)</f>
        <v>3716.627502036813</v>
      </c>
      <c r="F46" s="370">
        <f t="shared" si="1"/>
        <v>-0.54955840821838475</v>
      </c>
      <c r="G46" s="200"/>
      <c r="H46" s="200"/>
      <c r="I46" s="200"/>
      <c r="J46" s="200"/>
      <c r="K46" s="200"/>
      <c r="L46" s="200"/>
      <c r="M46" s="78"/>
      <c r="N46" s="84"/>
      <c r="O46" s="78"/>
      <c r="P46" s="78"/>
      <c r="Q46" s="78"/>
    </row>
    <row r="47" spans="1:21" s="78" customFormat="1" x14ac:dyDescent="0.2"/>
    <row r="48" spans="1:21" s="32" customFormat="1" ht="399.95" hidden="1" customHeight="1" x14ac:dyDescent="0.2">
      <c r="A48" s="82"/>
      <c r="C48" s="149"/>
      <c r="D48" s="149"/>
      <c r="E48" s="149"/>
      <c r="F48" s="149"/>
      <c r="M48" s="82"/>
      <c r="O48" s="82"/>
    </row>
    <row r="49" spans="1:19" s="32" customFormat="1" hidden="1" x14ac:dyDescent="0.2">
      <c r="A49" s="82"/>
      <c r="M49" s="82"/>
      <c r="O49" s="82"/>
    </row>
    <row r="50" spans="1:19" s="32" customFormat="1" hidden="1" x14ac:dyDescent="0.2">
      <c r="A50" s="82"/>
      <c r="M50" s="82"/>
      <c r="O50" s="82"/>
    </row>
    <row r="51" spans="1:19" s="32" customFormat="1" hidden="1" x14ac:dyDescent="0.2">
      <c r="A51" s="82"/>
      <c r="M51" s="82"/>
      <c r="O51" s="82"/>
    </row>
    <row r="52" spans="1:19" s="32" customFormat="1" hidden="1" x14ac:dyDescent="0.2">
      <c r="A52" s="82"/>
      <c r="M52" s="82"/>
      <c r="O52" s="82"/>
    </row>
    <row r="53" spans="1:19" s="32" customFormat="1" hidden="1" x14ac:dyDescent="0.2">
      <c r="A53" s="82"/>
      <c r="M53" s="82"/>
      <c r="O53" s="82"/>
    </row>
    <row r="54" spans="1:19" s="32" customFormat="1" hidden="1" x14ac:dyDescent="0.2">
      <c r="A54" s="82"/>
      <c r="M54" s="82"/>
      <c r="O54" s="82"/>
    </row>
    <row r="55" spans="1:19" s="32" customFormat="1" hidden="1" x14ac:dyDescent="0.2">
      <c r="A55" s="82"/>
      <c r="M55" s="82"/>
      <c r="O55" s="82"/>
    </row>
    <row r="56" spans="1:19" s="32" customFormat="1" hidden="1" x14ac:dyDescent="0.2">
      <c r="A56" s="82"/>
      <c r="M56" s="82"/>
      <c r="O56" s="82"/>
    </row>
    <row r="57" spans="1:19" s="32" customFormat="1" hidden="1" x14ac:dyDescent="0.2">
      <c r="A57" s="82"/>
      <c r="M57" s="82"/>
      <c r="O57" s="82"/>
    </row>
    <row r="58" spans="1:19" s="32" customFormat="1" hidden="1" x14ac:dyDescent="0.2">
      <c r="A58" s="82"/>
      <c r="M58" s="82"/>
      <c r="O58" s="82"/>
    </row>
    <row r="59" spans="1:19" s="5" customFormat="1" hidden="1" x14ac:dyDescent="0.2">
      <c r="A59" s="78"/>
      <c r="M59" s="78"/>
      <c r="N59" s="84"/>
      <c r="O59" s="78"/>
      <c r="P59" s="84"/>
      <c r="Q59" s="84"/>
      <c r="R59" s="84"/>
      <c r="S59" s="84"/>
    </row>
    <row r="60" spans="1:19" s="5" customFormat="1" hidden="1" x14ac:dyDescent="0.2">
      <c r="A60" s="78"/>
      <c r="M60" s="78"/>
      <c r="N60" s="84"/>
      <c r="O60" s="78"/>
      <c r="P60" s="84"/>
      <c r="Q60" s="84"/>
      <c r="R60" s="84"/>
      <c r="S60" s="84"/>
    </row>
    <row r="61" spans="1:19" s="5" customFormat="1" hidden="1" x14ac:dyDescent="0.2">
      <c r="A61" s="78"/>
      <c r="M61" s="78"/>
      <c r="N61" s="84"/>
      <c r="O61" s="78"/>
      <c r="P61" s="84"/>
      <c r="Q61" s="84"/>
      <c r="R61" s="84"/>
      <c r="S61" s="84"/>
    </row>
    <row r="62" spans="1:19" s="5" customFormat="1" hidden="1" x14ac:dyDescent="0.2">
      <c r="A62" s="78"/>
      <c r="M62" s="78"/>
      <c r="N62" s="84"/>
      <c r="O62" s="78"/>
      <c r="P62" s="84"/>
      <c r="Q62" s="84"/>
      <c r="R62" s="84"/>
      <c r="S62" s="84"/>
    </row>
    <row r="63" spans="1:19" s="5" customFormat="1" hidden="1" x14ac:dyDescent="0.2">
      <c r="A63" s="78"/>
      <c r="M63" s="78"/>
      <c r="N63" s="84"/>
      <c r="O63" s="78"/>
      <c r="P63" s="84"/>
      <c r="Q63" s="84"/>
      <c r="R63" s="84"/>
      <c r="S63" s="84"/>
    </row>
    <row r="64" spans="1:19" s="5" customFormat="1" hidden="1" x14ac:dyDescent="0.2">
      <c r="A64" s="78"/>
      <c r="M64" s="78"/>
      <c r="N64" s="84"/>
      <c r="O64" s="78"/>
      <c r="P64" s="84"/>
      <c r="Q64" s="84"/>
      <c r="R64" s="84"/>
      <c r="S64" s="84"/>
    </row>
    <row r="65" spans="1:19" s="5" customFormat="1" hidden="1" x14ac:dyDescent="0.2">
      <c r="A65" s="78"/>
      <c r="M65" s="78"/>
      <c r="N65" s="84"/>
      <c r="O65" s="78"/>
      <c r="P65" s="84"/>
      <c r="Q65" s="84"/>
      <c r="R65" s="84"/>
      <c r="S65" s="84"/>
    </row>
    <row r="66" spans="1:19" s="5" customFormat="1" hidden="1" x14ac:dyDescent="0.2">
      <c r="A66" s="78"/>
      <c r="M66" s="78"/>
      <c r="N66" s="84"/>
      <c r="O66" s="78"/>
      <c r="P66" s="84"/>
      <c r="Q66" s="84"/>
      <c r="R66" s="84"/>
      <c r="S66" s="84"/>
    </row>
    <row r="67" spans="1:19" s="5" customFormat="1" hidden="1" x14ac:dyDescent="0.2">
      <c r="A67" s="78"/>
      <c r="M67" s="78"/>
      <c r="N67" s="84"/>
      <c r="O67" s="78"/>
      <c r="P67" s="84"/>
      <c r="Q67" s="84"/>
      <c r="R67" s="84"/>
      <c r="S67" s="84"/>
    </row>
    <row r="68" spans="1:19" s="5" customFormat="1" hidden="1" x14ac:dyDescent="0.2">
      <c r="A68" s="78"/>
      <c r="M68" s="78"/>
      <c r="N68" s="84"/>
      <c r="O68" s="78"/>
      <c r="P68" s="84"/>
      <c r="Q68" s="84"/>
      <c r="R68" s="84"/>
      <c r="S68" s="84"/>
    </row>
    <row r="69" spans="1:19" s="5" customFormat="1" hidden="1" x14ac:dyDescent="0.2">
      <c r="A69" s="78"/>
      <c r="M69" s="78"/>
      <c r="N69" s="84"/>
      <c r="O69" s="78"/>
      <c r="P69" s="84"/>
      <c r="Q69" s="84"/>
      <c r="R69" s="84"/>
      <c r="S69" s="84"/>
    </row>
    <row r="70" spans="1:19" s="5" customFormat="1" hidden="1" x14ac:dyDescent="0.2">
      <c r="A70" s="78"/>
      <c r="M70" s="78"/>
      <c r="N70" s="84"/>
      <c r="O70" s="78"/>
      <c r="P70" s="84"/>
      <c r="Q70" s="84"/>
      <c r="R70" s="84"/>
      <c r="S70" s="84"/>
    </row>
    <row r="71" spans="1:19" s="5" customFormat="1" hidden="1" x14ac:dyDescent="0.2">
      <c r="A71" s="78"/>
      <c r="M71" s="78"/>
      <c r="N71" s="84"/>
      <c r="O71" s="78"/>
      <c r="P71" s="84"/>
      <c r="Q71" s="84"/>
      <c r="R71" s="84"/>
      <c r="S71" s="84"/>
    </row>
    <row r="72" spans="1:19" s="5" customFormat="1" hidden="1" x14ac:dyDescent="0.2">
      <c r="A72" s="78"/>
      <c r="M72" s="78"/>
      <c r="N72" s="84"/>
      <c r="O72" s="78"/>
      <c r="P72" s="84"/>
      <c r="Q72" s="84"/>
      <c r="R72" s="84"/>
      <c r="S72" s="84"/>
    </row>
    <row r="73" spans="1:19" s="5" customFormat="1" hidden="1" x14ac:dyDescent="0.2">
      <c r="A73" s="78"/>
      <c r="M73" s="78"/>
      <c r="N73" s="84"/>
      <c r="O73" s="78"/>
      <c r="P73" s="84"/>
      <c r="Q73" s="84"/>
      <c r="R73" s="84"/>
      <c r="S73" s="84"/>
    </row>
    <row r="74" spans="1:19" s="5" customFormat="1" hidden="1" x14ac:dyDescent="0.2">
      <c r="A74" s="78"/>
      <c r="M74" s="78"/>
      <c r="N74" s="84"/>
      <c r="O74" s="78"/>
      <c r="P74" s="84"/>
      <c r="Q74" s="84"/>
      <c r="R74" s="84"/>
      <c r="S74" s="84"/>
    </row>
    <row r="75" spans="1:19" s="5" customFormat="1" hidden="1" x14ac:dyDescent="0.2">
      <c r="A75" s="78"/>
      <c r="M75" s="78"/>
      <c r="N75" s="84"/>
      <c r="O75" s="78"/>
      <c r="P75" s="84"/>
      <c r="Q75" s="84"/>
      <c r="R75" s="84"/>
      <c r="S75" s="84"/>
    </row>
    <row r="76" spans="1:19" s="5" customFormat="1" hidden="1" x14ac:dyDescent="0.2">
      <c r="A76" s="78"/>
      <c r="M76" s="78"/>
      <c r="N76" s="84"/>
      <c r="O76" s="78"/>
      <c r="P76" s="84"/>
      <c r="Q76" s="84"/>
      <c r="R76" s="84"/>
      <c r="S76" s="84"/>
    </row>
    <row r="77" spans="1:19" s="5" customFormat="1" hidden="1" x14ac:dyDescent="0.2">
      <c r="A77" s="78"/>
      <c r="M77" s="78"/>
      <c r="N77" s="84"/>
      <c r="O77" s="78"/>
      <c r="P77" s="84"/>
      <c r="Q77" s="84"/>
      <c r="R77" s="84"/>
      <c r="S77" s="84"/>
    </row>
    <row r="78" spans="1:19" s="5" customFormat="1" hidden="1" x14ac:dyDescent="0.2">
      <c r="A78" s="78"/>
      <c r="M78" s="78"/>
      <c r="N78" s="84"/>
      <c r="O78" s="78"/>
      <c r="P78" s="84"/>
      <c r="Q78" s="84"/>
      <c r="R78" s="84"/>
      <c r="S78" s="84"/>
    </row>
    <row r="79" spans="1:19" s="5" customFormat="1" hidden="1" x14ac:dyDescent="0.2">
      <c r="A79" s="78"/>
      <c r="M79" s="78"/>
      <c r="N79" s="84"/>
      <c r="O79" s="78"/>
      <c r="P79" s="84"/>
      <c r="Q79" s="84"/>
      <c r="R79" s="84"/>
      <c r="S79" s="84"/>
    </row>
    <row r="80" spans="1:19" s="5" customFormat="1" hidden="1" x14ac:dyDescent="0.2">
      <c r="A80" s="78"/>
      <c r="M80" s="78"/>
      <c r="N80" s="84"/>
      <c r="O80" s="78"/>
      <c r="P80" s="84"/>
      <c r="Q80" s="84"/>
      <c r="R80" s="84"/>
      <c r="S80" s="84"/>
    </row>
    <row r="81" spans="1:19" s="5" customFormat="1" hidden="1" x14ac:dyDescent="0.2">
      <c r="A81" s="78"/>
      <c r="M81" s="78"/>
      <c r="N81" s="84"/>
      <c r="O81" s="78"/>
      <c r="P81" s="84"/>
      <c r="Q81" s="84"/>
      <c r="R81" s="84"/>
      <c r="S81" s="84"/>
    </row>
    <row r="82" spans="1:19" s="5" customFormat="1" hidden="1" x14ac:dyDescent="0.2">
      <c r="A82" s="78"/>
      <c r="M82" s="78"/>
      <c r="N82" s="84"/>
      <c r="O82" s="78"/>
      <c r="P82" s="84"/>
      <c r="Q82" s="84"/>
      <c r="R82" s="84"/>
      <c r="S82" s="84"/>
    </row>
    <row r="83" spans="1:19" s="5" customFormat="1" hidden="1" x14ac:dyDescent="0.2">
      <c r="A83" s="78"/>
      <c r="M83" s="78"/>
      <c r="N83" s="84"/>
      <c r="O83" s="78"/>
      <c r="P83" s="84"/>
      <c r="Q83" s="84"/>
      <c r="R83" s="84"/>
      <c r="S83" s="84"/>
    </row>
    <row r="84" spans="1:19" s="5" customFormat="1" hidden="1" x14ac:dyDescent="0.2">
      <c r="A84" s="78"/>
      <c r="M84" s="78"/>
      <c r="N84" s="84"/>
      <c r="O84" s="78"/>
      <c r="P84" s="84"/>
      <c r="Q84" s="84"/>
      <c r="R84" s="84"/>
      <c r="S84" s="84"/>
    </row>
    <row r="85" spans="1:19" s="5" customFormat="1" hidden="1" x14ac:dyDescent="0.2">
      <c r="A85" s="78"/>
      <c r="M85" s="78"/>
      <c r="N85" s="84"/>
      <c r="O85" s="78"/>
      <c r="P85" s="84"/>
      <c r="Q85" s="84"/>
      <c r="R85" s="84"/>
      <c r="S85" s="84"/>
    </row>
    <row r="86" spans="1:19" s="5" customFormat="1" hidden="1" x14ac:dyDescent="0.2">
      <c r="A86" s="78"/>
      <c r="M86" s="78"/>
      <c r="N86" s="84"/>
      <c r="O86" s="78"/>
      <c r="P86" s="84"/>
      <c r="Q86" s="84"/>
      <c r="R86" s="84"/>
      <c r="S86" s="84"/>
    </row>
    <row r="87" spans="1:19" s="5" customFormat="1" hidden="1" x14ac:dyDescent="0.2">
      <c r="A87" s="78"/>
      <c r="M87" s="78"/>
      <c r="N87" s="84"/>
      <c r="O87" s="78"/>
      <c r="P87" s="84"/>
      <c r="Q87" s="84"/>
      <c r="R87" s="84"/>
      <c r="S87" s="84"/>
    </row>
    <row r="88" spans="1:19" s="5" customFormat="1" hidden="1" x14ac:dyDescent="0.2">
      <c r="A88" s="78"/>
      <c r="M88" s="78"/>
      <c r="N88" s="84"/>
      <c r="O88" s="78"/>
      <c r="P88" s="84"/>
      <c r="Q88" s="84"/>
      <c r="R88" s="84"/>
      <c r="S88" s="84"/>
    </row>
    <row r="89" spans="1:19" s="5" customFormat="1" hidden="1" x14ac:dyDescent="0.2">
      <c r="A89" s="78"/>
      <c r="M89" s="78"/>
      <c r="N89" s="84"/>
      <c r="O89" s="78"/>
      <c r="P89" s="84"/>
      <c r="Q89" s="84"/>
      <c r="R89" s="84"/>
      <c r="S89" s="84"/>
    </row>
    <row r="90" spans="1:19" s="5" customFormat="1" hidden="1" x14ac:dyDescent="0.2">
      <c r="A90" s="78"/>
      <c r="M90" s="78"/>
      <c r="N90" s="84"/>
      <c r="O90" s="78"/>
      <c r="P90" s="84"/>
      <c r="Q90" s="84"/>
      <c r="R90" s="84"/>
      <c r="S90" s="84"/>
    </row>
    <row r="91" spans="1:19" s="5" customFormat="1" hidden="1" x14ac:dyDescent="0.2">
      <c r="A91" s="78"/>
      <c r="M91" s="78"/>
      <c r="N91" s="84"/>
      <c r="O91" s="78"/>
      <c r="P91" s="84"/>
      <c r="Q91" s="84"/>
      <c r="R91" s="84"/>
      <c r="S91" s="84"/>
    </row>
    <row r="92" spans="1:19" s="5" customFormat="1" hidden="1" x14ac:dyDescent="0.2">
      <c r="A92" s="78"/>
      <c r="M92" s="78"/>
      <c r="N92" s="84"/>
      <c r="O92" s="78"/>
      <c r="P92" s="84"/>
      <c r="Q92" s="84"/>
      <c r="R92" s="84"/>
      <c r="S92" s="84"/>
    </row>
    <row r="93" spans="1:19" s="5" customFormat="1" hidden="1" x14ac:dyDescent="0.2">
      <c r="A93" s="78"/>
      <c r="M93" s="78"/>
      <c r="N93" s="84"/>
      <c r="O93" s="78"/>
      <c r="P93" s="84"/>
      <c r="Q93" s="84"/>
      <c r="R93" s="84"/>
      <c r="S93" s="84"/>
    </row>
    <row r="94" spans="1:19" s="5" customFormat="1" hidden="1" x14ac:dyDescent="0.2">
      <c r="A94" s="78"/>
      <c r="M94" s="78"/>
      <c r="N94" s="84"/>
      <c r="O94" s="78"/>
      <c r="P94" s="84"/>
      <c r="Q94" s="84"/>
      <c r="R94" s="84"/>
      <c r="S94" s="84"/>
    </row>
    <row r="95" spans="1:19" s="5" customFormat="1" hidden="1" x14ac:dyDescent="0.2">
      <c r="A95" s="78"/>
      <c r="M95" s="78"/>
      <c r="N95" s="84"/>
      <c r="O95" s="78"/>
      <c r="P95" s="84"/>
      <c r="Q95" s="84"/>
      <c r="R95" s="84"/>
      <c r="S95" s="84"/>
    </row>
    <row r="96" spans="1:19" s="5" customFormat="1" hidden="1" x14ac:dyDescent="0.2">
      <c r="A96" s="78"/>
      <c r="M96" s="78"/>
      <c r="N96" s="84"/>
      <c r="O96" s="78"/>
      <c r="P96" s="84"/>
      <c r="Q96" s="84"/>
      <c r="R96" s="84"/>
      <c r="S96" s="84"/>
    </row>
    <row r="97" spans="1:19" s="5" customFormat="1" hidden="1" x14ac:dyDescent="0.2">
      <c r="A97" s="78"/>
      <c r="M97" s="78"/>
      <c r="N97" s="84"/>
      <c r="O97" s="78"/>
      <c r="P97" s="84"/>
      <c r="Q97" s="84"/>
      <c r="R97" s="84"/>
      <c r="S97" s="84"/>
    </row>
    <row r="98" spans="1:19" s="5" customFormat="1" hidden="1" x14ac:dyDescent="0.2">
      <c r="A98" s="78"/>
      <c r="M98" s="78"/>
      <c r="N98" s="84"/>
      <c r="O98" s="78"/>
      <c r="P98" s="84"/>
      <c r="Q98" s="84"/>
      <c r="R98" s="84"/>
      <c r="S98" s="84"/>
    </row>
    <row r="99" spans="1:19" s="5" customFormat="1" hidden="1" x14ac:dyDescent="0.2">
      <c r="A99" s="78"/>
      <c r="M99" s="78"/>
      <c r="N99" s="84"/>
      <c r="O99" s="78"/>
      <c r="P99" s="84"/>
      <c r="Q99" s="84"/>
      <c r="R99" s="84"/>
      <c r="S99" s="84"/>
    </row>
    <row r="100" spans="1:19" s="5" customFormat="1" hidden="1" x14ac:dyDescent="0.2">
      <c r="A100" s="78"/>
      <c r="M100" s="78"/>
      <c r="N100" s="84"/>
      <c r="O100" s="78"/>
      <c r="P100" s="84"/>
      <c r="Q100" s="84"/>
      <c r="R100" s="84"/>
      <c r="S100" s="84"/>
    </row>
    <row r="101" spans="1:19" s="5" customFormat="1" hidden="1" x14ac:dyDescent="0.2">
      <c r="A101" s="78"/>
      <c r="M101" s="78"/>
      <c r="N101" s="84"/>
      <c r="O101" s="78"/>
      <c r="P101" s="84"/>
      <c r="Q101" s="84"/>
      <c r="R101" s="84"/>
      <c r="S101" s="84"/>
    </row>
    <row r="102" spans="1:19" s="5" customFormat="1" hidden="1" x14ac:dyDescent="0.2">
      <c r="A102" s="78"/>
      <c r="M102" s="78"/>
      <c r="N102" s="84"/>
      <c r="O102" s="78"/>
      <c r="P102" s="84"/>
      <c r="Q102" s="84"/>
      <c r="R102" s="84"/>
      <c r="S102" s="84"/>
    </row>
    <row r="103" spans="1:19" s="5" customFormat="1" hidden="1" x14ac:dyDescent="0.2">
      <c r="A103" s="78"/>
      <c r="M103" s="78"/>
      <c r="N103" s="84"/>
      <c r="O103" s="78"/>
      <c r="P103" s="84"/>
      <c r="Q103" s="84"/>
      <c r="R103" s="84"/>
      <c r="S103" s="84"/>
    </row>
    <row r="104" spans="1:19" s="5" customFormat="1" hidden="1" x14ac:dyDescent="0.2">
      <c r="A104" s="78"/>
      <c r="M104" s="78"/>
      <c r="N104" s="84"/>
      <c r="O104" s="78"/>
      <c r="P104" s="84"/>
      <c r="Q104" s="84"/>
      <c r="R104" s="84"/>
      <c r="S104" s="84"/>
    </row>
    <row r="105" spans="1:19" s="5" customFormat="1" hidden="1" x14ac:dyDescent="0.2">
      <c r="A105" s="78"/>
      <c r="M105" s="78"/>
      <c r="N105" s="84"/>
      <c r="O105" s="78"/>
      <c r="P105" s="84"/>
      <c r="Q105" s="84"/>
      <c r="R105" s="84"/>
      <c r="S105" s="84"/>
    </row>
    <row r="106" spans="1:19" s="5" customFormat="1" hidden="1" x14ac:dyDescent="0.2">
      <c r="A106" s="78"/>
      <c r="M106" s="78"/>
      <c r="N106" s="84"/>
      <c r="O106" s="78"/>
      <c r="P106" s="84"/>
      <c r="Q106" s="84"/>
      <c r="R106" s="84"/>
      <c r="S106" s="84"/>
    </row>
    <row r="107" spans="1:19" s="5" customFormat="1" hidden="1" x14ac:dyDescent="0.2">
      <c r="A107" s="78"/>
      <c r="M107" s="78"/>
      <c r="N107" s="84"/>
      <c r="O107" s="78"/>
      <c r="P107" s="84"/>
      <c r="Q107" s="84"/>
      <c r="R107" s="84"/>
      <c r="S107" s="84"/>
    </row>
    <row r="108" spans="1:19" s="5" customFormat="1" hidden="1" x14ac:dyDescent="0.2">
      <c r="A108" s="78"/>
      <c r="M108" s="78"/>
      <c r="N108" s="84"/>
      <c r="O108" s="78"/>
      <c r="P108" s="84"/>
      <c r="Q108" s="84"/>
      <c r="R108" s="84"/>
      <c r="S108" s="84"/>
    </row>
    <row r="109" spans="1:19" s="5" customFormat="1" hidden="1" x14ac:dyDescent="0.2">
      <c r="A109" s="78"/>
      <c r="M109" s="78"/>
      <c r="N109" s="84"/>
      <c r="O109" s="78"/>
      <c r="P109" s="84"/>
      <c r="Q109" s="84"/>
      <c r="R109" s="84"/>
      <c r="S109" s="84"/>
    </row>
    <row r="110" spans="1:19" s="5" customFormat="1" hidden="1" x14ac:dyDescent="0.2">
      <c r="A110" s="78"/>
      <c r="M110" s="78"/>
      <c r="N110" s="84"/>
      <c r="O110" s="78"/>
      <c r="P110" s="84"/>
      <c r="Q110" s="84"/>
      <c r="R110" s="84"/>
      <c r="S110" s="84"/>
    </row>
    <row r="111" spans="1:19" s="5" customFormat="1" hidden="1" x14ac:dyDescent="0.2">
      <c r="A111" s="78"/>
      <c r="M111" s="78"/>
      <c r="N111" s="84"/>
      <c r="O111" s="78"/>
      <c r="P111" s="84"/>
      <c r="Q111" s="84"/>
      <c r="R111" s="84"/>
      <c r="S111" s="84"/>
    </row>
    <row r="112" spans="1:19" s="5" customFormat="1" hidden="1" x14ac:dyDescent="0.2">
      <c r="A112" s="78"/>
      <c r="M112" s="78"/>
      <c r="N112" s="84"/>
      <c r="O112" s="78"/>
      <c r="P112" s="84"/>
      <c r="Q112" s="84"/>
      <c r="R112" s="84"/>
      <c r="S112" s="84"/>
    </row>
    <row r="113" spans="1:19" s="5" customFormat="1" hidden="1" x14ac:dyDescent="0.2">
      <c r="A113" s="78"/>
      <c r="M113" s="78"/>
      <c r="N113" s="84"/>
      <c r="O113" s="78"/>
      <c r="P113" s="84"/>
      <c r="Q113" s="84"/>
      <c r="R113" s="84"/>
      <c r="S113" s="84"/>
    </row>
    <row r="114" spans="1:19" s="5" customFormat="1" hidden="1" x14ac:dyDescent="0.2">
      <c r="A114" s="78"/>
      <c r="M114" s="78"/>
      <c r="N114" s="84"/>
      <c r="O114" s="78"/>
      <c r="P114" s="84"/>
      <c r="Q114" s="84"/>
      <c r="R114" s="84"/>
      <c r="S114" s="84"/>
    </row>
    <row r="115" spans="1:19" s="5" customFormat="1" hidden="1" x14ac:dyDescent="0.2">
      <c r="A115" s="78"/>
      <c r="M115" s="78"/>
      <c r="N115" s="84"/>
      <c r="O115" s="78"/>
      <c r="P115" s="84"/>
      <c r="Q115" s="84"/>
      <c r="R115" s="84"/>
      <c r="S115" s="84"/>
    </row>
    <row r="116" spans="1:19" s="5" customFormat="1" hidden="1" x14ac:dyDescent="0.2">
      <c r="A116" s="78"/>
      <c r="M116" s="78"/>
      <c r="N116" s="84"/>
      <c r="O116" s="78"/>
      <c r="P116" s="84"/>
      <c r="Q116" s="84"/>
      <c r="R116" s="84"/>
      <c r="S116" s="84"/>
    </row>
    <row r="117" spans="1:19" s="5" customFormat="1" hidden="1" x14ac:dyDescent="0.2">
      <c r="A117" s="78"/>
      <c r="M117" s="78"/>
      <c r="N117" s="84"/>
      <c r="O117" s="78"/>
      <c r="P117" s="84"/>
      <c r="Q117" s="84"/>
      <c r="R117" s="84"/>
      <c r="S117" s="84"/>
    </row>
    <row r="118" spans="1:19" s="5" customFormat="1" hidden="1" x14ac:dyDescent="0.2">
      <c r="A118" s="78"/>
      <c r="M118" s="78"/>
      <c r="N118" s="84"/>
      <c r="O118" s="78"/>
      <c r="P118" s="84"/>
      <c r="Q118" s="84"/>
      <c r="R118" s="84"/>
      <c r="S118" s="84"/>
    </row>
    <row r="119" spans="1:19" s="5" customFormat="1" hidden="1" x14ac:dyDescent="0.2">
      <c r="A119" s="78"/>
      <c r="M119" s="78"/>
      <c r="N119" s="84"/>
      <c r="O119" s="78"/>
      <c r="P119" s="84"/>
      <c r="Q119" s="84"/>
      <c r="R119" s="84"/>
      <c r="S119" s="84"/>
    </row>
    <row r="120" spans="1:19" s="5" customFormat="1" hidden="1" x14ac:dyDescent="0.2">
      <c r="A120" s="78"/>
      <c r="M120" s="78"/>
      <c r="N120" s="84"/>
      <c r="O120" s="78"/>
      <c r="P120" s="84"/>
      <c r="Q120" s="84"/>
      <c r="R120" s="84"/>
      <c r="S120" s="84"/>
    </row>
    <row r="121" spans="1:19" s="5" customFormat="1" hidden="1" x14ac:dyDescent="0.2">
      <c r="A121" s="78"/>
      <c r="M121" s="78"/>
      <c r="N121" s="84"/>
      <c r="O121" s="78"/>
      <c r="P121" s="84"/>
      <c r="Q121" s="84"/>
      <c r="R121" s="84"/>
      <c r="S121" s="84"/>
    </row>
    <row r="122" spans="1:19" s="5" customFormat="1" hidden="1" x14ac:dyDescent="0.2">
      <c r="A122" s="78"/>
      <c r="M122" s="78"/>
      <c r="N122" s="84"/>
      <c r="O122" s="78"/>
      <c r="P122" s="84"/>
      <c r="Q122" s="84"/>
      <c r="R122" s="84"/>
      <c r="S122" s="84"/>
    </row>
    <row r="123" spans="1:19" s="5" customFormat="1" hidden="1" x14ac:dyDescent="0.2">
      <c r="A123" s="78"/>
      <c r="M123" s="78"/>
      <c r="N123" s="84"/>
      <c r="O123" s="78"/>
      <c r="P123" s="84"/>
      <c r="Q123" s="84"/>
      <c r="R123" s="84"/>
      <c r="S123" s="84"/>
    </row>
    <row r="124" spans="1:19" s="5" customFormat="1" hidden="1" x14ac:dyDescent="0.2">
      <c r="A124" s="78"/>
      <c r="M124" s="78"/>
      <c r="N124" s="84"/>
      <c r="O124" s="78"/>
      <c r="P124" s="84"/>
      <c r="Q124" s="84"/>
      <c r="R124" s="84"/>
      <c r="S124" s="84"/>
    </row>
    <row r="125" spans="1:19" s="5" customFormat="1" hidden="1" x14ac:dyDescent="0.2">
      <c r="A125" s="78"/>
      <c r="M125" s="78"/>
      <c r="N125" s="84"/>
      <c r="O125" s="78"/>
      <c r="P125" s="84"/>
      <c r="Q125" s="84"/>
      <c r="R125" s="84"/>
      <c r="S125" s="84"/>
    </row>
    <row r="126" spans="1:19" s="5" customFormat="1" hidden="1" x14ac:dyDescent="0.2">
      <c r="A126" s="78"/>
      <c r="M126" s="78"/>
      <c r="N126" s="84"/>
      <c r="O126" s="78"/>
      <c r="P126" s="84"/>
      <c r="Q126" s="84"/>
      <c r="R126" s="84"/>
      <c r="S126" s="84"/>
    </row>
    <row r="127" spans="1:19" s="5" customFormat="1" hidden="1" x14ac:dyDescent="0.2">
      <c r="A127" s="78"/>
      <c r="M127" s="78"/>
      <c r="N127" s="84"/>
      <c r="O127" s="78"/>
      <c r="P127" s="84"/>
      <c r="Q127" s="84"/>
      <c r="R127" s="84"/>
      <c r="S127" s="84"/>
    </row>
    <row r="128" spans="1:19" s="5" customFormat="1" hidden="1" x14ac:dyDescent="0.2">
      <c r="A128" s="78"/>
      <c r="M128" s="78"/>
      <c r="N128" s="84"/>
      <c r="O128" s="78"/>
      <c r="P128" s="84"/>
      <c r="Q128" s="84"/>
      <c r="R128" s="84"/>
      <c r="S128" s="84"/>
    </row>
    <row r="129" spans="1:19" s="5" customFormat="1" hidden="1" x14ac:dyDescent="0.2">
      <c r="A129" s="78"/>
      <c r="M129" s="78"/>
      <c r="N129" s="84"/>
      <c r="O129" s="78"/>
      <c r="P129" s="84"/>
      <c r="Q129" s="84"/>
      <c r="R129" s="84"/>
      <c r="S129" s="84"/>
    </row>
    <row r="130" spans="1:19" s="5" customFormat="1" hidden="1" x14ac:dyDescent="0.2">
      <c r="A130" s="78"/>
      <c r="M130" s="78"/>
      <c r="N130" s="84"/>
      <c r="O130" s="78"/>
      <c r="P130" s="84"/>
      <c r="Q130" s="84"/>
      <c r="R130" s="84"/>
      <c r="S130" s="84"/>
    </row>
    <row r="131" spans="1:19" s="5" customFormat="1" hidden="1" x14ac:dyDescent="0.2">
      <c r="A131" s="78"/>
      <c r="M131" s="78"/>
      <c r="N131" s="84"/>
      <c r="O131" s="78"/>
      <c r="P131" s="84"/>
      <c r="Q131" s="84"/>
      <c r="R131" s="84"/>
      <c r="S131" s="84"/>
    </row>
    <row r="132" spans="1:19" s="5" customFormat="1" hidden="1" x14ac:dyDescent="0.2">
      <c r="A132" s="78"/>
      <c r="M132" s="78"/>
      <c r="N132" s="84"/>
      <c r="O132" s="78"/>
      <c r="P132" s="84"/>
      <c r="Q132" s="84"/>
      <c r="R132" s="84"/>
      <c r="S132" s="84"/>
    </row>
    <row r="133" spans="1:19" s="5" customFormat="1" hidden="1" x14ac:dyDescent="0.2">
      <c r="A133" s="78"/>
      <c r="M133" s="78"/>
      <c r="N133" s="84"/>
      <c r="O133" s="78"/>
      <c r="P133" s="84"/>
      <c r="Q133" s="84"/>
      <c r="R133" s="84"/>
      <c r="S133" s="84"/>
    </row>
    <row r="134" spans="1:19" s="5" customFormat="1" hidden="1" x14ac:dyDescent="0.2">
      <c r="A134" s="78"/>
      <c r="M134" s="78"/>
      <c r="N134" s="84"/>
      <c r="O134" s="78"/>
      <c r="P134" s="84"/>
      <c r="Q134" s="84"/>
      <c r="R134" s="84"/>
      <c r="S134" s="84"/>
    </row>
    <row r="135" spans="1:19" s="5" customFormat="1" hidden="1" x14ac:dyDescent="0.2">
      <c r="A135" s="78"/>
      <c r="M135" s="78"/>
      <c r="N135" s="84"/>
      <c r="O135" s="78"/>
      <c r="P135" s="84"/>
      <c r="Q135" s="84"/>
      <c r="R135" s="84"/>
      <c r="S135" s="84"/>
    </row>
    <row r="136" spans="1:19" s="5" customFormat="1" hidden="1" x14ac:dyDescent="0.2">
      <c r="A136" s="78"/>
      <c r="M136" s="78"/>
      <c r="N136" s="84"/>
      <c r="O136" s="78"/>
      <c r="P136" s="84"/>
      <c r="Q136" s="84"/>
      <c r="R136" s="84"/>
      <c r="S136" s="84"/>
    </row>
    <row r="137" spans="1:19" s="5" customFormat="1" hidden="1" x14ac:dyDescent="0.2">
      <c r="A137" s="78"/>
      <c r="M137" s="78"/>
      <c r="N137" s="84"/>
      <c r="O137" s="78"/>
      <c r="P137" s="84"/>
      <c r="Q137" s="84"/>
      <c r="R137" s="84"/>
      <c r="S137" s="84"/>
    </row>
    <row r="138" spans="1:19" s="5" customFormat="1" hidden="1" x14ac:dyDescent="0.2">
      <c r="A138" s="78"/>
      <c r="M138" s="78"/>
      <c r="N138" s="84"/>
      <c r="O138" s="78"/>
      <c r="P138" s="84"/>
      <c r="Q138" s="84"/>
      <c r="R138" s="84"/>
      <c r="S138" s="84"/>
    </row>
    <row r="139" spans="1:19" s="5" customFormat="1" hidden="1" x14ac:dyDescent="0.2">
      <c r="A139" s="78"/>
      <c r="M139" s="78"/>
      <c r="N139" s="84"/>
      <c r="O139" s="78"/>
      <c r="P139" s="84"/>
      <c r="Q139" s="84"/>
      <c r="R139" s="84"/>
      <c r="S139" s="84"/>
    </row>
    <row r="140" spans="1:19" s="5" customFormat="1" hidden="1" x14ac:dyDescent="0.2">
      <c r="A140" s="78"/>
      <c r="M140" s="78"/>
      <c r="N140" s="84"/>
      <c r="O140" s="78"/>
      <c r="P140" s="84"/>
      <c r="Q140" s="84"/>
      <c r="R140" s="84"/>
      <c r="S140" s="84"/>
    </row>
    <row r="141" spans="1:19" s="5" customFormat="1" hidden="1" x14ac:dyDescent="0.2">
      <c r="A141" s="78"/>
      <c r="M141" s="78"/>
      <c r="N141" s="84"/>
      <c r="O141" s="78"/>
      <c r="P141" s="84"/>
      <c r="Q141" s="84"/>
      <c r="R141" s="84"/>
      <c r="S141" s="84"/>
    </row>
    <row r="142" spans="1:19" s="5" customFormat="1" hidden="1" x14ac:dyDescent="0.2">
      <c r="A142" s="78"/>
      <c r="M142" s="78"/>
      <c r="N142" s="84"/>
      <c r="O142" s="78"/>
      <c r="P142" s="84"/>
      <c r="Q142" s="84"/>
      <c r="R142" s="84"/>
      <c r="S142" s="84"/>
    </row>
    <row r="143" spans="1:19" s="5" customFormat="1" hidden="1" x14ac:dyDescent="0.2">
      <c r="A143" s="78"/>
      <c r="M143" s="78"/>
      <c r="N143" s="84"/>
      <c r="O143" s="78"/>
      <c r="P143" s="84"/>
      <c r="Q143" s="84"/>
      <c r="R143" s="84"/>
      <c r="S143" s="84"/>
    </row>
    <row r="144" spans="1:19" s="5" customFormat="1" hidden="1" x14ac:dyDescent="0.2">
      <c r="A144" s="78"/>
      <c r="M144" s="78"/>
      <c r="N144" s="84"/>
      <c r="O144" s="78"/>
      <c r="P144" s="84"/>
      <c r="Q144" s="84"/>
      <c r="R144" s="84"/>
      <c r="S144" s="84"/>
    </row>
    <row r="145" spans="1:19" s="5" customFormat="1" hidden="1" x14ac:dyDescent="0.2">
      <c r="A145" s="78"/>
      <c r="M145" s="78"/>
      <c r="N145" s="84"/>
      <c r="O145" s="78"/>
      <c r="P145" s="84"/>
      <c r="Q145" s="84"/>
      <c r="R145" s="84"/>
      <c r="S145" s="84"/>
    </row>
    <row r="146" spans="1:19" s="5" customFormat="1" hidden="1" x14ac:dyDescent="0.2">
      <c r="A146" s="78"/>
      <c r="M146" s="78"/>
      <c r="N146" s="84"/>
      <c r="O146" s="78"/>
      <c r="P146" s="84"/>
      <c r="Q146" s="84"/>
      <c r="R146" s="84"/>
      <c r="S146" s="84"/>
    </row>
    <row r="147" spans="1:19" s="5" customFormat="1" hidden="1" x14ac:dyDescent="0.2">
      <c r="A147" s="78"/>
      <c r="M147" s="78"/>
      <c r="N147" s="84"/>
      <c r="O147" s="78"/>
      <c r="P147" s="84"/>
      <c r="Q147" s="84"/>
      <c r="R147" s="84"/>
      <c r="S147" s="84"/>
    </row>
    <row r="148" spans="1:19" s="5" customFormat="1" hidden="1" x14ac:dyDescent="0.2">
      <c r="A148" s="78"/>
      <c r="M148" s="78"/>
      <c r="N148" s="84"/>
      <c r="O148" s="78"/>
      <c r="P148" s="84"/>
      <c r="Q148" s="84"/>
      <c r="R148" s="84"/>
      <c r="S148" s="84"/>
    </row>
    <row r="149" spans="1:19" s="5" customFormat="1" hidden="1" x14ac:dyDescent="0.2">
      <c r="A149" s="78"/>
      <c r="M149" s="78"/>
      <c r="N149" s="84"/>
      <c r="O149" s="78"/>
      <c r="P149" s="84"/>
      <c r="Q149" s="84"/>
      <c r="R149" s="84"/>
      <c r="S149" s="84"/>
    </row>
    <row r="150" spans="1:19" s="5" customFormat="1" hidden="1" x14ac:dyDescent="0.2">
      <c r="A150" s="78"/>
      <c r="M150" s="78"/>
      <c r="N150" s="84"/>
      <c r="O150" s="78"/>
      <c r="P150" s="84"/>
      <c r="Q150" s="84"/>
      <c r="R150" s="84"/>
      <c r="S150" s="84"/>
    </row>
    <row r="151" spans="1:19" s="5" customFormat="1" hidden="1" x14ac:dyDescent="0.2">
      <c r="A151" s="78"/>
      <c r="M151" s="78"/>
      <c r="N151" s="84"/>
      <c r="O151" s="78"/>
      <c r="P151" s="84"/>
      <c r="Q151" s="84"/>
      <c r="R151" s="84"/>
      <c r="S151" s="84"/>
    </row>
    <row r="152" spans="1:19" s="5" customFormat="1" hidden="1" x14ac:dyDescent="0.2">
      <c r="A152" s="78"/>
      <c r="M152" s="78"/>
      <c r="N152" s="84"/>
      <c r="O152" s="78"/>
      <c r="P152" s="84"/>
      <c r="Q152" s="84"/>
      <c r="R152" s="84"/>
      <c r="S152" s="84"/>
    </row>
    <row r="153" spans="1:19" s="5" customFormat="1" hidden="1" x14ac:dyDescent="0.2">
      <c r="A153" s="78"/>
      <c r="M153" s="78"/>
      <c r="N153" s="84"/>
      <c r="O153" s="78"/>
      <c r="P153" s="84"/>
      <c r="Q153" s="84"/>
      <c r="R153" s="84"/>
      <c r="S153" s="84"/>
    </row>
    <row r="154" spans="1:19" s="5" customFormat="1" hidden="1" x14ac:dyDescent="0.2">
      <c r="A154" s="78"/>
      <c r="M154" s="78"/>
      <c r="N154" s="84"/>
      <c r="O154" s="78"/>
      <c r="P154" s="84"/>
      <c r="Q154" s="84"/>
      <c r="R154" s="84"/>
      <c r="S154" s="84"/>
    </row>
    <row r="155" spans="1:19" s="5" customFormat="1" hidden="1" x14ac:dyDescent="0.2">
      <c r="A155" s="78"/>
      <c r="M155" s="78"/>
      <c r="N155" s="84"/>
      <c r="O155" s="78"/>
      <c r="P155" s="84"/>
      <c r="Q155" s="84"/>
      <c r="R155" s="84"/>
      <c r="S155" s="84"/>
    </row>
    <row r="156" spans="1:19" s="5" customFormat="1" hidden="1" x14ac:dyDescent="0.2">
      <c r="A156" s="78"/>
      <c r="M156" s="78"/>
      <c r="N156" s="84"/>
      <c r="O156" s="78"/>
      <c r="P156" s="84"/>
      <c r="Q156" s="84"/>
      <c r="R156" s="84"/>
      <c r="S156" s="84"/>
    </row>
    <row r="157" spans="1:19" s="5" customFormat="1" hidden="1" x14ac:dyDescent="0.2">
      <c r="A157" s="78"/>
      <c r="M157" s="78"/>
      <c r="N157" s="84"/>
      <c r="O157" s="78"/>
      <c r="P157" s="84"/>
      <c r="Q157" s="84"/>
      <c r="R157" s="84"/>
      <c r="S157" s="84"/>
    </row>
    <row r="158" spans="1:19" s="5" customFormat="1" hidden="1" x14ac:dyDescent="0.2">
      <c r="A158" s="78"/>
      <c r="M158" s="78"/>
      <c r="N158" s="84"/>
      <c r="O158" s="78"/>
      <c r="P158" s="84"/>
      <c r="Q158" s="84"/>
      <c r="R158" s="84"/>
      <c r="S158" s="84"/>
    </row>
    <row r="159" spans="1:19" s="5" customFormat="1" hidden="1" x14ac:dyDescent="0.2">
      <c r="A159" s="78"/>
      <c r="M159" s="78"/>
      <c r="N159" s="84"/>
      <c r="O159" s="78"/>
      <c r="P159" s="84"/>
      <c r="Q159" s="84"/>
      <c r="R159" s="84"/>
      <c r="S159" s="84"/>
    </row>
    <row r="160" spans="1:19" s="5" customFormat="1" hidden="1" x14ac:dyDescent="0.2">
      <c r="A160" s="78"/>
      <c r="C160" s="202"/>
      <c r="D160" s="202"/>
      <c r="E160" s="202"/>
      <c r="F160" s="202"/>
      <c r="M160" s="78"/>
      <c r="N160" s="84"/>
      <c r="O160" s="78"/>
      <c r="P160" s="84"/>
      <c r="Q160" s="84"/>
      <c r="R160" s="84"/>
      <c r="S160" s="84"/>
    </row>
    <row r="161" spans="1:19" s="5" customFormat="1" hidden="1" x14ac:dyDescent="0.2">
      <c r="A161" s="78"/>
      <c r="C161" s="202"/>
      <c r="D161" s="202"/>
      <c r="E161" s="202"/>
      <c r="F161" s="202"/>
      <c r="M161" s="78"/>
      <c r="N161" s="84"/>
      <c r="O161" s="78"/>
      <c r="P161" s="84"/>
      <c r="Q161" s="84"/>
      <c r="R161" s="84"/>
      <c r="S161" s="84"/>
    </row>
    <row r="162" spans="1:19" s="5" customFormat="1" hidden="1" x14ac:dyDescent="0.2">
      <c r="A162" s="78"/>
      <c r="B162" s="202"/>
      <c r="C162" s="202"/>
      <c r="D162" s="202"/>
      <c r="E162" s="202"/>
      <c r="F162" s="202"/>
      <c r="M162" s="78"/>
      <c r="N162" s="84"/>
      <c r="O162" s="78"/>
      <c r="P162" s="84"/>
      <c r="Q162" s="84"/>
      <c r="R162" s="84"/>
      <c r="S162" s="84"/>
    </row>
    <row r="163" spans="1:19" s="5" customFormat="1" hidden="1" x14ac:dyDescent="0.2">
      <c r="A163" s="78"/>
      <c r="B163" s="202"/>
      <c r="C163" s="202"/>
      <c r="D163" s="202"/>
      <c r="E163" s="202"/>
      <c r="F163" s="202"/>
      <c r="M163" s="78"/>
      <c r="N163" s="84"/>
      <c r="O163" s="78"/>
      <c r="P163" s="84"/>
      <c r="Q163" s="84"/>
      <c r="R163" s="84"/>
      <c r="S163" s="84"/>
    </row>
    <row r="164" spans="1:19" s="5" customFormat="1" hidden="1" x14ac:dyDescent="0.2">
      <c r="A164" s="78"/>
      <c r="B164" s="202"/>
      <c r="C164" s="202"/>
      <c r="D164" s="202"/>
      <c r="E164" s="202"/>
      <c r="F164" s="202"/>
      <c r="M164" s="78"/>
      <c r="N164" s="84"/>
      <c r="O164" s="78"/>
      <c r="P164" s="84"/>
      <c r="Q164" s="84"/>
      <c r="R164" s="84"/>
      <c r="S164" s="84"/>
    </row>
    <row r="165" spans="1:19" s="5" customFormat="1" hidden="1" x14ac:dyDescent="0.2">
      <c r="A165" s="78"/>
      <c r="B165" s="202"/>
      <c r="C165" s="202"/>
      <c r="D165" s="202"/>
      <c r="E165" s="202"/>
      <c r="F165" s="202"/>
      <c r="M165" s="78"/>
      <c r="N165" s="84"/>
      <c r="O165" s="78"/>
      <c r="P165" s="84"/>
      <c r="Q165" s="84"/>
      <c r="R165" s="84"/>
      <c r="S165" s="84"/>
    </row>
    <row r="166" spans="1:19" s="5" customFormat="1" hidden="1" x14ac:dyDescent="0.2">
      <c r="A166" s="78"/>
      <c r="B166" s="202"/>
      <c r="C166" s="202"/>
      <c r="D166" s="202"/>
      <c r="E166" s="202"/>
      <c r="F166" s="202"/>
      <c r="M166" s="78"/>
      <c r="N166" s="84"/>
      <c r="O166" s="78"/>
      <c r="P166" s="84"/>
      <c r="Q166" s="84"/>
      <c r="R166" s="84"/>
      <c r="S166" s="84"/>
    </row>
    <row r="167" spans="1:19" s="5" customFormat="1" hidden="1" x14ac:dyDescent="0.2">
      <c r="A167" s="78"/>
      <c r="B167" s="202"/>
      <c r="C167" s="202"/>
      <c r="D167" s="202"/>
      <c r="E167" s="202"/>
      <c r="F167" s="202"/>
      <c r="M167" s="78"/>
      <c r="N167" s="84"/>
      <c r="O167" s="78"/>
      <c r="P167" s="84"/>
      <c r="Q167" s="84"/>
      <c r="R167" s="84"/>
      <c r="S167" s="84"/>
    </row>
    <row r="168" spans="1:19" s="5" customFormat="1" x14ac:dyDescent="0.2">
      <c r="A168" s="78"/>
      <c r="B168" s="202"/>
      <c r="C168" s="202"/>
      <c r="D168" s="202"/>
      <c r="E168" s="202"/>
      <c r="F168" s="202"/>
      <c r="M168" s="78"/>
      <c r="N168" s="84"/>
      <c r="O168" s="78"/>
      <c r="P168" s="84"/>
      <c r="Q168" s="84"/>
      <c r="R168" s="84"/>
      <c r="S168" s="84"/>
    </row>
    <row r="169" spans="1:19" s="5" customFormat="1" x14ac:dyDescent="0.2">
      <c r="A169" s="78"/>
      <c r="B169" s="202"/>
      <c r="C169" s="202"/>
      <c r="D169" s="202"/>
      <c r="E169" s="202"/>
      <c r="F169" s="202"/>
      <c r="M169" s="78"/>
      <c r="N169" s="84"/>
      <c r="O169" s="78"/>
      <c r="P169" s="84"/>
      <c r="Q169" s="84"/>
      <c r="R169" s="84"/>
      <c r="S169" s="84"/>
    </row>
    <row r="170" spans="1:19" s="5" customFormat="1" x14ac:dyDescent="0.2">
      <c r="A170" s="78"/>
      <c r="B170" s="202"/>
      <c r="C170" s="202"/>
      <c r="D170" s="202"/>
      <c r="E170" s="202"/>
      <c r="F170" s="202"/>
      <c r="M170" s="78"/>
      <c r="N170" s="84"/>
      <c r="O170" s="78"/>
      <c r="P170" s="84"/>
      <c r="Q170" s="84"/>
      <c r="R170" s="84"/>
      <c r="S170" s="84"/>
    </row>
    <row r="171" spans="1:19" s="5" customFormat="1" x14ac:dyDescent="0.2">
      <c r="A171" s="78"/>
      <c r="B171" s="202"/>
      <c r="C171" s="202"/>
      <c r="D171" s="202"/>
      <c r="E171" s="202"/>
      <c r="F171" s="202"/>
      <c r="M171" s="78"/>
      <c r="N171" s="84"/>
      <c r="O171" s="78"/>
      <c r="P171" s="84"/>
      <c r="Q171" s="84"/>
      <c r="R171" s="84"/>
      <c r="S171" s="84"/>
    </row>
    <row r="172" spans="1:19" s="5" customFormat="1" x14ac:dyDescent="0.2">
      <c r="A172" s="78"/>
      <c r="B172" s="202"/>
      <c r="C172" s="202"/>
      <c r="D172" s="202"/>
      <c r="E172" s="202"/>
      <c r="F172" s="202"/>
      <c r="M172" s="78"/>
      <c r="N172" s="84"/>
      <c r="O172" s="78"/>
      <c r="P172" s="84"/>
      <c r="Q172" s="84"/>
      <c r="R172" s="84"/>
      <c r="S172" s="84"/>
    </row>
    <row r="173" spans="1:19" s="5" customFormat="1" x14ac:dyDescent="0.2">
      <c r="A173" s="78"/>
      <c r="B173" s="202"/>
      <c r="C173" s="202"/>
      <c r="D173" s="202"/>
      <c r="E173" s="202"/>
      <c r="F173" s="202"/>
      <c r="M173" s="78"/>
      <c r="N173" s="84"/>
      <c r="O173" s="78"/>
      <c r="P173" s="84"/>
      <c r="Q173" s="84"/>
      <c r="R173" s="84"/>
      <c r="S173" s="84"/>
    </row>
    <row r="174" spans="1:19" s="5" customFormat="1" x14ac:dyDescent="0.2">
      <c r="A174" s="78"/>
      <c r="B174" s="202"/>
      <c r="C174" s="202"/>
      <c r="D174" s="202"/>
      <c r="E174" s="202"/>
      <c r="F174" s="202"/>
      <c r="M174" s="78"/>
      <c r="N174" s="84"/>
      <c r="O174" s="78"/>
      <c r="P174" s="84"/>
      <c r="Q174" s="84"/>
      <c r="R174" s="84"/>
      <c r="S174" s="84"/>
    </row>
    <row r="175" spans="1:19" s="5" customFormat="1" x14ac:dyDescent="0.2">
      <c r="A175" s="78"/>
      <c r="B175" s="202"/>
      <c r="C175" s="202"/>
      <c r="D175" s="202"/>
      <c r="E175" s="202"/>
      <c r="F175" s="202"/>
      <c r="M175" s="78"/>
      <c r="N175" s="84"/>
      <c r="O175" s="78"/>
      <c r="P175" s="84"/>
      <c r="Q175" s="84"/>
      <c r="R175" s="84"/>
      <c r="S175" s="84"/>
    </row>
    <row r="176" spans="1:19" s="5" customFormat="1" x14ac:dyDescent="0.2">
      <c r="A176" s="78"/>
      <c r="B176" s="202"/>
      <c r="C176" s="202"/>
      <c r="D176" s="202"/>
      <c r="E176" s="202"/>
      <c r="F176" s="202"/>
      <c r="M176" s="78"/>
      <c r="N176" s="84"/>
      <c r="O176" s="78"/>
      <c r="P176" s="84"/>
      <c r="Q176" s="84"/>
      <c r="R176" s="84"/>
      <c r="S176" s="84"/>
    </row>
    <row r="177" spans="1:19" s="5" customFormat="1" x14ac:dyDescent="0.2">
      <c r="A177" s="78"/>
      <c r="B177" s="202"/>
      <c r="C177" s="202"/>
      <c r="D177" s="202"/>
      <c r="E177" s="202"/>
      <c r="F177" s="202"/>
      <c r="M177" s="78"/>
      <c r="N177" s="84"/>
      <c r="O177" s="78"/>
      <c r="P177" s="84"/>
      <c r="Q177" s="84"/>
      <c r="R177" s="84"/>
      <c r="S177" s="84"/>
    </row>
    <row r="178" spans="1:19" s="5" customFormat="1" x14ac:dyDescent="0.2">
      <c r="A178" s="78"/>
      <c r="B178" s="202"/>
      <c r="C178" s="202"/>
      <c r="D178" s="202"/>
      <c r="E178" s="202"/>
      <c r="F178" s="202"/>
      <c r="M178" s="78"/>
      <c r="N178" s="84"/>
      <c r="O178" s="78"/>
      <c r="P178" s="84"/>
      <c r="Q178" s="84"/>
      <c r="R178" s="84"/>
      <c r="S178" s="84"/>
    </row>
    <row r="179" spans="1:19" s="5" customFormat="1" x14ac:dyDescent="0.2">
      <c r="A179" s="78"/>
      <c r="B179" s="202"/>
      <c r="C179" s="202"/>
      <c r="D179" s="202"/>
      <c r="E179" s="202"/>
      <c r="F179" s="202"/>
      <c r="M179" s="78"/>
      <c r="N179" s="84"/>
      <c r="O179" s="78"/>
      <c r="P179" s="84"/>
      <c r="Q179" s="84"/>
      <c r="R179" s="84"/>
      <c r="S179" s="84"/>
    </row>
    <row r="180" spans="1:19" s="5" customFormat="1" x14ac:dyDescent="0.2">
      <c r="A180" s="78"/>
      <c r="B180" s="202"/>
      <c r="C180" s="202"/>
      <c r="D180" s="202"/>
      <c r="E180" s="202"/>
      <c r="F180" s="202"/>
      <c r="M180" s="78"/>
      <c r="N180" s="84"/>
      <c r="O180" s="78"/>
      <c r="P180" s="84"/>
      <c r="Q180" s="84"/>
      <c r="R180" s="84"/>
      <c r="S180" s="84"/>
    </row>
    <row r="181" spans="1:19" s="5" customFormat="1" x14ac:dyDescent="0.2">
      <c r="A181" s="78"/>
      <c r="B181" s="202"/>
      <c r="C181" s="202"/>
      <c r="D181" s="202"/>
      <c r="E181" s="202"/>
      <c r="F181" s="202"/>
      <c r="M181" s="78"/>
      <c r="N181" s="84"/>
      <c r="O181" s="78"/>
      <c r="P181" s="84"/>
      <c r="Q181" s="84"/>
      <c r="R181" s="84"/>
      <c r="S181" s="84"/>
    </row>
    <row r="182" spans="1:19" s="5" customFormat="1" x14ac:dyDescent="0.2">
      <c r="A182" s="78"/>
      <c r="B182" s="202"/>
      <c r="C182" s="202"/>
      <c r="D182" s="202"/>
      <c r="E182" s="202"/>
      <c r="F182" s="202"/>
      <c r="M182" s="78"/>
      <c r="N182" s="84"/>
      <c r="O182" s="78"/>
      <c r="P182" s="84"/>
      <c r="Q182" s="84"/>
      <c r="R182" s="84"/>
      <c r="S182" s="84"/>
    </row>
    <row r="183" spans="1:19" s="5" customFormat="1" x14ac:dyDescent="0.2">
      <c r="A183" s="78"/>
      <c r="B183" s="202"/>
      <c r="C183" s="202"/>
      <c r="D183" s="202"/>
      <c r="E183" s="202"/>
      <c r="F183" s="202"/>
      <c r="M183" s="78"/>
      <c r="N183" s="84"/>
      <c r="O183" s="78"/>
      <c r="P183" s="84"/>
      <c r="Q183" s="84"/>
      <c r="R183" s="84"/>
      <c r="S183" s="84"/>
    </row>
    <row r="184" spans="1:19" s="5" customFormat="1" x14ac:dyDescent="0.2">
      <c r="A184" s="78"/>
      <c r="B184" s="202"/>
      <c r="C184" s="202"/>
      <c r="D184" s="202"/>
      <c r="E184" s="202"/>
      <c r="F184" s="202"/>
      <c r="M184" s="78"/>
      <c r="N184" s="84"/>
      <c r="O184" s="78"/>
      <c r="P184" s="84"/>
      <c r="Q184" s="84"/>
      <c r="R184" s="84"/>
      <c r="S184" s="84"/>
    </row>
    <row r="185" spans="1:19" s="5" customFormat="1" x14ac:dyDescent="0.2">
      <c r="A185" s="78"/>
      <c r="B185" s="202"/>
      <c r="C185" s="202"/>
      <c r="D185" s="202"/>
      <c r="E185" s="202"/>
      <c r="F185" s="202"/>
      <c r="M185" s="78"/>
      <c r="N185" s="84"/>
      <c r="O185" s="78"/>
      <c r="P185" s="84"/>
      <c r="Q185" s="84"/>
      <c r="R185" s="84"/>
      <c r="S185" s="84"/>
    </row>
    <row r="186" spans="1:19" s="5" customFormat="1" x14ac:dyDescent="0.2">
      <c r="A186" s="78"/>
      <c r="B186" s="202"/>
      <c r="C186" s="202"/>
      <c r="D186" s="202"/>
      <c r="E186" s="202"/>
      <c r="F186" s="202"/>
      <c r="M186" s="78"/>
      <c r="N186" s="84"/>
      <c r="O186" s="78"/>
      <c r="P186" s="84"/>
      <c r="Q186" s="84"/>
      <c r="R186" s="84"/>
      <c r="S186" s="84"/>
    </row>
    <row r="187" spans="1:19" s="5" customFormat="1" x14ac:dyDescent="0.2">
      <c r="A187" s="78"/>
      <c r="B187" s="202"/>
      <c r="C187" s="202"/>
      <c r="D187" s="202"/>
      <c r="E187" s="202"/>
      <c r="F187" s="202"/>
      <c r="M187" s="78"/>
      <c r="N187" s="84"/>
      <c r="O187" s="78"/>
      <c r="P187" s="84"/>
      <c r="Q187" s="84"/>
      <c r="R187" s="84"/>
      <c r="S187" s="84"/>
    </row>
    <row r="188" spans="1:19" s="5" customFormat="1" x14ac:dyDescent="0.2">
      <c r="A188" s="78"/>
      <c r="B188" s="202"/>
      <c r="C188" s="202"/>
      <c r="D188" s="202"/>
      <c r="E188" s="202"/>
      <c r="F188" s="202"/>
      <c r="M188" s="78"/>
      <c r="N188" s="84"/>
      <c r="O188" s="78"/>
      <c r="P188" s="84"/>
      <c r="Q188" s="84"/>
      <c r="R188" s="84"/>
      <c r="S188" s="84"/>
    </row>
    <row r="189" spans="1:19" s="5" customFormat="1" x14ac:dyDescent="0.2">
      <c r="A189" s="78"/>
      <c r="B189" s="202"/>
      <c r="C189" s="202"/>
      <c r="D189" s="202"/>
      <c r="E189" s="202"/>
      <c r="F189" s="202"/>
      <c r="M189" s="78"/>
      <c r="N189" s="84"/>
      <c r="O189" s="78"/>
      <c r="P189" s="84"/>
      <c r="Q189" s="84"/>
      <c r="R189" s="84"/>
      <c r="S189" s="84"/>
    </row>
    <row r="190" spans="1:19" s="5" customFormat="1" x14ac:dyDescent="0.2">
      <c r="A190" s="78"/>
      <c r="B190" s="202"/>
      <c r="C190" s="202"/>
      <c r="D190" s="202"/>
      <c r="E190" s="202"/>
      <c r="F190" s="202"/>
      <c r="M190" s="78"/>
      <c r="N190" s="84"/>
      <c r="O190" s="78"/>
      <c r="P190" s="84"/>
      <c r="Q190" s="84"/>
      <c r="R190" s="84"/>
      <c r="S190" s="84"/>
    </row>
    <row r="191" spans="1:19" s="5" customFormat="1" x14ac:dyDescent="0.2">
      <c r="A191" s="78"/>
      <c r="B191" s="202"/>
      <c r="C191" s="202"/>
      <c r="D191" s="202"/>
      <c r="E191" s="202"/>
      <c r="F191" s="202"/>
      <c r="M191" s="78"/>
      <c r="N191" s="84"/>
      <c r="O191" s="78"/>
      <c r="P191" s="84"/>
      <c r="Q191" s="84"/>
      <c r="R191" s="84"/>
      <c r="S191" s="84"/>
    </row>
    <row r="192" spans="1:19" s="5" customFormat="1" x14ac:dyDescent="0.2">
      <c r="A192" s="78"/>
      <c r="B192" s="202"/>
      <c r="C192" s="202"/>
      <c r="D192" s="202"/>
      <c r="E192" s="202"/>
      <c r="F192" s="202"/>
      <c r="M192" s="78"/>
      <c r="N192" s="84"/>
      <c r="O192" s="78"/>
      <c r="P192" s="84"/>
      <c r="Q192" s="84"/>
      <c r="R192" s="84"/>
      <c r="S192" s="84"/>
    </row>
    <row r="193" spans="1:24" s="5" customFormat="1" x14ac:dyDescent="0.2">
      <c r="A193" s="78"/>
      <c r="B193" s="202"/>
      <c r="C193" s="202"/>
      <c r="D193" s="202"/>
      <c r="E193" s="202"/>
      <c r="F193" s="202"/>
      <c r="M193" s="78"/>
      <c r="N193" s="84"/>
      <c r="O193" s="78"/>
      <c r="P193" s="84"/>
      <c r="Q193" s="84"/>
      <c r="R193" s="84"/>
      <c r="S193" s="84"/>
    </row>
    <row r="194" spans="1:24" s="5" customFormat="1" ht="16.5" customHeight="1" x14ac:dyDescent="0.2">
      <c r="A194" s="78"/>
      <c r="B194" s="202"/>
      <c r="C194" s="202"/>
      <c r="D194" s="202"/>
      <c r="E194" s="202"/>
      <c r="F194" s="202"/>
      <c r="M194" s="78"/>
      <c r="N194" s="84"/>
      <c r="O194" s="78"/>
      <c r="P194" s="84"/>
      <c r="Q194" s="84"/>
      <c r="R194" s="84"/>
      <c r="S194" s="84"/>
    </row>
    <row r="195" spans="1:24" s="244" customFormat="1" x14ac:dyDescent="0.2">
      <c r="A195" s="78"/>
      <c r="B195" s="268"/>
      <c r="C195" s="268"/>
      <c r="D195" s="268"/>
      <c r="E195" s="268"/>
      <c r="F195" s="268"/>
      <c r="G195" s="47"/>
      <c r="H195" s="47"/>
      <c r="I195" s="47"/>
      <c r="J195" s="47"/>
      <c r="K195" s="47"/>
      <c r="L195" s="47"/>
      <c r="M195" s="78"/>
      <c r="N195" s="47"/>
      <c r="O195" s="78"/>
      <c r="P195" s="47"/>
      <c r="Q195" s="47"/>
      <c r="R195" s="47"/>
      <c r="S195" s="47"/>
      <c r="T195" s="47"/>
      <c r="U195" s="47"/>
      <c r="V195" s="47"/>
      <c r="W195" s="47"/>
      <c r="X195" s="47"/>
    </row>
  </sheetData>
  <sheetProtection sheet="1" objects="1" scenarios="1"/>
  <mergeCells count="8">
    <mergeCell ref="B3:L3"/>
    <mergeCell ref="B4:L4"/>
    <mergeCell ref="B10:L10"/>
    <mergeCell ref="C13:D13"/>
    <mergeCell ref="E13:F13"/>
    <mergeCell ref="G13:H13"/>
    <mergeCell ref="I13:J13"/>
    <mergeCell ref="K13:L13"/>
  </mergeCells>
  <pageMargins left="0.7" right="0.7" top="0.75" bottom="0.75" header="0.3" footer="0.3"/>
  <pageSetup scale="46" orientation="landscape" r:id="rId1"/>
  <headerFooter>
    <oddHeader>&amp;R&amp;"Calibri"&amp;10&amp;K000000 Unclassified / Non classifié&amp;1#_x000D_</oddHead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ED665-AECA-4D0A-8DF2-91016BE4129E}">
          <x14:formula1>
            <xm:f>Introduction!$B$31:$B$46</xm:f>
          </x14:formula1>
          <xm:sqref>G24:G27 I24:I27 E24:E27 E15:E17 G15:G17 I15:I17 K15:K17 E19:E22 G19:G22 I19:I22 K19:K22 K24:K27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C1C5B-C927-4197-A1E4-1A584FBC20A5}">
  <sheetPr codeName="Sheet7"/>
  <dimension ref="A1:P106"/>
  <sheetViews>
    <sheetView zoomScale="70" zoomScaleNormal="70" workbookViewId="0">
      <selection activeCell="D52" sqref="D52"/>
    </sheetView>
  </sheetViews>
  <sheetFormatPr defaultColWidth="0" defaultRowHeight="15" zeroHeight="1" x14ac:dyDescent="0.2"/>
  <cols>
    <col min="1" max="1" width="2.625" style="23" customWidth="1"/>
    <col min="2" max="2" width="39.5" style="24" customWidth="1"/>
    <col min="3" max="5" width="20.625" style="24" customWidth="1"/>
    <col min="6" max="6" width="14.25" style="24" bestFit="1" customWidth="1"/>
    <col min="7" max="7" width="13.75" style="24" bestFit="1" customWidth="1"/>
    <col min="8" max="8" width="16.625" style="24" customWidth="1"/>
    <col min="9" max="9" width="2.625" style="23" customWidth="1"/>
    <col min="10" max="16384" width="18.125" style="25" hidden="1"/>
  </cols>
  <sheetData>
    <row r="1" spans="1:16" ht="15.75" x14ac:dyDescent="0.2">
      <c r="A1" s="268"/>
      <c r="B1" s="3"/>
      <c r="C1" s="3"/>
      <c r="D1" s="3"/>
      <c r="E1" s="3"/>
      <c r="F1" s="3"/>
      <c r="G1" s="3"/>
      <c r="H1" s="3"/>
      <c r="I1" s="268"/>
      <c r="J1" s="29"/>
      <c r="K1" s="29"/>
      <c r="L1" s="29"/>
      <c r="M1" s="29"/>
      <c r="N1" s="340"/>
      <c r="O1" s="340"/>
      <c r="P1" s="340"/>
    </row>
    <row r="2" spans="1:16" ht="15.75" customHeight="1" x14ac:dyDescent="0.2">
      <c r="A2" s="268"/>
      <c r="B2" s="208" t="s">
        <v>89</v>
      </c>
      <c r="C2" s="11"/>
      <c r="D2" s="11"/>
      <c r="E2" s="11"/>
      <c r="F2" s="11"/>
      <c r="G2" s="11"/>
      <c r="H2" s="11"/>
      <c r="I2" s="268"/>
      <c r="J2" s="340"/>
      <c r="K2" s="30"/>
      <c r="L2" s="30"/>
      <c r="M2" s="30"/>
      <c r="N2" s="340"/>
      <c r="O2" s="30"/>
      <c r="P2" s="30"/>
    </row>
    <row r="3" spans="1:16" ht="25.5" customHeight="1" x14ac:dyDescent="0.2">
      <c r="A3" s="268"/>
      <c r="B3" s="344" t="s">
        <v>90</v>
      </c>
      <c r="C3" s="202"/>
      <c r="D3" s="202"/>
      <c r="E3" s="202"/>
      <c r="F3" s="14" t="s">
        <v>91</v>
      </c>
      <c r="G3" s="14"/>
      <c r="H3" s="4">
        <v>2023</v>
      </c>
      <c r="I3" s="268"/>
      <c r="J3" s="340"/>
      <c r="K3" s="340"/>
      <c r="L3" s="340"/>
      <c r="M3" s="340"/>
      <c r="N3" s="340"/>
      <c r="O3" s="340"/>
      <c r="P3" s="340"/>
    </row>
    <row r="4" spans="1:16" s="5" customFormat="1" ht="9" hidden="1" customHeight="1" x14ac:dyDescent="0.2">
      <c r="G4" s="5" t="s">
        <v>92</v>
      </c>
      <c r="H4" s="5" t="str">
        <f>IF(ISNA(INDEX(CPI_Hide!$C$4:$C$27,MATCH(H3,CPI_Hide!$D$4:$D$27,0))),INDEX(CPI_Hide!$C$4:$C$27,MATCH(MAX(CPI_Hide!$D$4:$D$27),CPI_Hide!$D$4:$D$27,0)),INDEX(CPI_Hide!$C$4:$C$27,MATCH(H3,CPI_Hide!$D$4:$D$27,0)))</f>
        <v>153.9</v>
      </c>
    </row>
    <row r="5" spans="1:16" s="272" customFormat="1" ht="32.1" customHeight="1" x14ac:dyDescent="0.2">
      <c r="A5" s="341"/>
      <c r="B5" s="468" t="s">
        <v>93</v>
      </c>
      <c r="C5" s="468"/>
      <c r="D5" s="468"/>
      <c r="E5" s="468"/>
      <c r="F5" s="468"/>
      <c r="G5" s="468"/>
      <c r="H5" s="468"/>
      <c r="I5" s="341"/>
    </row>
    <row r="6" spans="1:16" s="272" customFormat="1" x14ac:dyDescent="0.2">
      <c r="A6" s="341"/>
      <c r="B6" s="90" t="s">
        <v>94</v>
      </c>
      <c r="C6" s="202"/>
      <c r="D6" s="202"/>
      <c r="E6" s="202"/>
      <c r="F6" s="202"/>
      <c r="G6" s="202"/>
      <c r="H6" s="202"/>
      <c r="I6" s="341"/>
    </row>
    <row r="7" spans="1:16" s="272" customFormat="1" ht="18.95" customHeight="1" x14ac:dyDescent="0.2">
      <c r="A7" s="341"/>
      <c r="B7" s="468" t="s">
        <v>95</v>
      </c>
      <c r="C7" s="468"/>
      <c r="D7" s="468"/>
      <c r="E7" s="468"/>
      <c r="F7" s="468"/>
      <c r="G7" s="468"/>
      <c r="H7" s="468"/>
      <c r="I7" s="341"/>
    </row>
    <row r="8" spans="1:16" s="272" customFormat="1" x14ac:dyDescent="0.2">
      <c r="A8" s="341"/>
      <c r="B8" s="90" t="s">
        <v>96</v>
      </c>
      <c r="E8" s="202"/>
      <c r="F8" s="202"/>
      <c r="G8" s="202"/>
      <c r="I8" s="341"/>
    </row>
    <row r="9" spans="1:16" x14ac:dyDescent="0.2">
      <c r="A9" s="268"/>
      <c r="B9" s="359"/>
      <c r="C9" s="360"/>
      <c r="D9" s="360"/>
      <c r="E9" s="202"/>
      <c r="F9" s="202"/>
      <c r="G9" s="202"/>
      <c r="H9" s="109"/>
      <c r="I9" s="268"/>
      <c r="J9" s="340"/>
      <c r="K9" s="340"/>
      <c r="L9" s="340"/>
      <c r="M9" s="340"/>
      <c r="N9" s="340"/>
      <c r="O9" s="340"/>
      <c r="P9" s="340"/>
    </row>
    <row r="10" spans="1:16" ht="15.75" x14ac:dyDescent="0.2">
      <c r="A10" s="268"/>
      <c r="B10" s="344" t="s">
        <v>97</v>
      </c>
      <c r="C10" s="202"/>
      <c r="D10" s="202"/>
      <c r="E10" s="202"/>
      <c r="F10" s="202"/>
      <c r="G10" s="202"/>
      <c r="H10" s="269" t="s">
        <v>66</v>
      </c>
      <c r="I10" s="268"/>
      <c r="J10" s="340"/>
      <c r="K10" s="340"/>
      <c r="L10" s="340"/>
      <c r="M10" s="340"/>
      <c r="N10" s="340"/>
      <c r="O10" s="16"/>
      <c r="P10" s="340"/>
    </row>
    <row r="11" spans="1:16" x14ac:dyDescent="0.2">
      <c r="A11" s="268"/>
      <c r="B11" s="202" t="s">
        <v>98</v>
      </c>
      <c r="C11" s="202"/>
      <c r="D11" s="202"/>
      <c r="E11" s="202"/>
      <c r="F11" s="202"/>
      <c r="G11" s="202"/>
      <c r="H11" s="202"/>
      <c r="I11" s="268"/>
      <c r="J11" s="340"/>
      <c r="K11" s="340"/>
      <c r="L11" s="16"/>
      <c r="M11" s="16"/>
      <c r="N11" s="340"/>
      <c r="O11" s="340"/>
      <c r="P11" s="340"/>
    </row>
    <row r="12" spans="1:16" x14ac:dyDescent="0.2">
      <c r="A12" s="268"/>
      <c r="B12" s="202" t="s">
        <v>99</v>
      </c>
      <c r="C12" s="202"/>
      <c r="D12" s="202"/>
      <c r="E12" s="202"/>
      <c r="F12" s="202"/>
      <c r="G12" s="202"/>
      <c r="H12" s="202"/>
      <c r="I12" s="268"/>
      <c r="J12" s="340"/>
      <c r="K12" s="340"/>
      <c r="L12" s="340"/>
      <c r="M12" s="340"/>
      <c r="N12" s="340"/>
      <c r="O12" s="340"/>
      <c r="P12" s="340"/>
    </row>
    <row r="13" spans="1:16" s="422" customFormat="1" ht="30.6" customHeight="1" x14ac:dyDescent="0.2">
      <c r="A13" s="421"/>
      <c r="B13" s="447" t="s">
        <v>100</v>
      </c>
      <c r="C13" s="447"/>
      <c r="D13" s="447"/>
      <c r="E13" s="447"/>
      <c r="F13" s="447"/>
      <c r="G13" s="447"/>
      <c r="H13" s="447"/>
      <c r="I13" s="421"/>
      <c r="J13" s="391"/>
      <c r="K13" s="391"/>
      <c r="L13" s="391"/>
      <c r="M13" s="391"/>
      <c r="N13" s="391"/>
      <c r="O13" s="391"/>
      <c r="P13" s="391"/>
    </row>
    <row r="14" spans="1:16" x14ac:dyDescent="0.2">
      <c r="A14" s="268"/>
      <c r="B14" s="200"/>
      <c r="C14" s="202"/>
      <c r="D14" s="202"/>
      <c r="E14" s="202"/>
      <c r="F14" s="202"/>
      <c r="G14" s="202"/>
      <c r="H14" s="202"/>
      <c r="I14" s="268"/>
      <c r="J14" s="340"/>
      <c r="K14" s="340"/>
      <c r="L14" s="340"/>
      <c r="M14" s="340"/>
      <c r="N14" s="340"/>
      <c r="O14" s="340"/>
      <c r="P14" s="340"/>
    </row>
    <row r="15" spans="1:16" ht="15.75" x14ac:dyDescent="0.2">
      <c r="A15" s="268"/>
      <c r="B15" s="15" t="s">
        <v>101</v>
      </c>
      <c r="C15" s="202"/>
      <c r="D15" s="202"/>
      <c r="E15" s="202"/>
      <c r="F15" s="202"/>
      <c r="G15" s="202"/>
      <c r="H15" s="202"/>
      <c r="I15" s="268"/>
      <c r="J15" s="340"/>
      <c r="K15" s="340"/>
      <c r="L15" s="340"/>
      <c r="M15" s="340"/>
      <c r="N15" s="340"/>
      <c r="O15" s="340"/>
      <c r="P15" s="340"/>
    </row>
    <row r="16" spans="1:16" x14ac:dyDescent="0.2">
      <c r="A16" s="268"/>
      <c r="B16" s="200" t="s">
        <v>102</v>
      </c>
      <c r="C16" s="202"/>
      <c r="D16" s="202"/>
      <c r="E16" s="202"/>
      <c r="F16" s="202"/>
      <c r="G16" s="202"/>
      <c r="H16" s="202"/>
      <c r="I16" s="268"/>
      <c r="J16" s="340"/>
      <c r="K16" s="340"/>
      <c r="L16" s="340"/>
      <c r="M16" s="340"/>
      <c r="N16" s="340"/>
      <c r="O16" s="340"/>
      <c r="P16" s="340"/>
    </row>
    <row r="17" spans="1:9" ht="17.45" customHeight="1" x14ac:dyDescent="0.2">
      <c r="A17" s="268"/>
      <c r="B17" s="471" t="s">
        <v>103</v>
      </c>
      <c r="C17" s="471"/>
      <c r="D17" s="471"/>
      <c r="E17" s="471"/>
      <c r="F17" s="471"/>
      <c r="G17" s="471"/>
      <c r="H17" s="471"/>
      <c r="I17" s="268"/>
    </row>
    <row r="18" spans="1:9" ht="31.5" customHeight="1" x14ac:dyDescent="0.2">
      <c r="A18" s="268"/>
      <c r="B18" s="469" t="s">
        <v>104</v>
      </c>
      <c r="C18" s="469"/>
      <c r="D18" s="469"/>
      <c r="E18" s="469"/>
      <c r="F18" s="469"/>
      <c r="G18" s="469"/>
      <c r="H18" s="469"/>
      <c r="I18" s="268"/>
    </row>
    <row r="19" spans="1:9" ht="17.45" customHeight="1" x14ac:dyDescent="0.2">
      <c r="A19" s="268"/>
      <c r="B19" s="471" t="s">
        <v>105</v>
      </c>
      <c r="C19" s="471"/>
      <c r="D19" s="471"/>
      <c r="E19" s="471"/>
      <c r="F19" s="471"/>
      <c r="G19" s="471"/>
      <c r="H19" s="471"/>
      <c r="I19" s="268"/>
    </row>
    <row r="20" spans="1:9" ht="17.45" customHeight="1" x14ac:dyDescent="0.2">
      <c r="A20" s="268"/>
      <c r="B20" s="471" t="s">
        <v>106</v>
      </c>
      <c r="C20" s="471"/>
      <c r="D20" s="471"/>
      <c r="E20" s="471"/>
      <c r="F20" s="471"/>
      <c r="G20" s="471"/>
      <c r="H20" s="471"/>
      <c r="I20" s="268"/>
    </row>
    <row r="21" spans="1:9" ht="17.45" customHeight="1" x14ac:dyDescent="0.2">
      <c r="A21" s="268"/>
      <c r="B21" s="471" t="s">
        <v>107</v>
      </c>
      <c r="C21" s="471"/>
      <c r="D21" s="471"/>
      <c r="E21" s="471"/>
      <c r="F21" s="471"/>
      <c r="G21" s="471"/>
      <c r="H21" s="471"/>
      <c r="I21" s="268"/>
    </row>
    <row r="22" spans="1:9" ht="35.450000000000003" customHeight="1" x14ac:dyDescent="0.2">
      <c r="A22" s="268"/>
      <c r="B22" s="471" t="s">
        <v>108</v>
      </c>
      <c r="C22" s="471"/>
      <c r="D22" s="471"/>
      <c r="E22" s="471"/>
      <c r="F22" s="471"/>
      <c r="G22" s="471"/>
      <c r="H22" s="471"/>
      <c r="I22" s="268"/>
    </row>
    <row r="23" spans="1:9" ht="17.45" customHeight="1" x14ac:dyDescent="0.2">
      <c r="A23" s="268"/>
      <c r="B23" s="471" t="s">
        <v>109</v>
      </c>
      <c r="C23" s="471"/>
      <c r="D23" s="471"/>
      <c r="E23" s="471"/>
      <c r="F23" s="471"/>
      <c r="G23" s="471"/>
      <c r="H23" s="471"/>
      <c r="I23" s="268"/>
    </row>
    <row r="24" spans="1:9" ht="17.45" customHeight="1" x14ac:dyDescent="0.2">
      <c r="A24" s="268"/>
      <c r="B24" s="469" t="s">
        <v>110</v>
      </c>
      <c r="C24" s="469"/>
      <c r="D24" s="469"/>
      <c r="E24" s="469"/>
      <c r="F24" s="469"/>
      <c r="G24" s="469"/>
      <c r="H24" s="469"/>
      <c r="I24" s="268"/>
    </row>
    <row r="25" spans="1:9" ht="17.45" customHeight="1" x14ac:dyDescent="0.2">
      <c r="A25" s="268"/>
      <c r="B25" s="471" t="s">
        <v>111</v>
      </c>
      <c r="C25" s="471"/>
      <c r="D25" s="471"/>
      <c r="E25" s="471"/>
      <c r="F25" s="471"/>
      <c r="G25" s="471"/>
      <c r="H25" s="471"/>
      <c r="I25" s="268"/>
    </row>
    <row r="26" spans="1:9" x14ac:dyDescent="0.2">
      <c r="A26" s="268"/>
      <c r="B26" s="200" t="s">
        <v>112</v>
      </c>
      <c r="C26" s="202"/>
      <c r="D26" s="202"/>
      <c r="E26" s="202"/>
      <c r="F26" s="202"/>
      <c r="G26" s="202"/>
      <c r="H26" s="202"/>
      <c r="I26" s="268"/>
    </row>
    <row r="27" spans="1:9" x14ac:dyDescent="0.2">
      <c r="A27" s="268"/>
      <c r="B27" s="200" t="s">
        <v>113</v>
      </c>
      <c r="C27" s="202"/>
      <c r="D27" s="243"/>
      <c r="E27" s="202"/>
      <c r="F27" s="202"/>
      <c r="G27" s="202"/>
      <c r="H27" s="202"/>
      <c r="I27" s="268"/>
    </row>
    <row r="28" spans="1:9" x14ac:dyDescent="0.2">
      <c r="A28" s="268"/>
      <c r="B28" s="200"/>
      <c r="C28" s="202"/>
      <c r="D28" s="202"/>
      <c r="E28" s="202"/>
      <c r="F28" s="202"/>
      <c r="G28" s="202"/>
      <c r="H28" s="202"/>
      <c r="I28" s="268"/>
    </row>
    <row r="29" spans="1:9" s="258" customFormat="1" ht="12.75" hidden="1" x14ac:dyDescent="0.2">
      <c r="A29" s="256"/>
      <c r="B29" s="255"/>
      <c r="C29" s="255"/>
      <c r="D29" s="255"/>
      <c r="F29" s="257"/>
      <c r="G29" s="257"/>
      <c r="H29" s="257"/>
      <c r="I29" s="256"/>
    </row>
    <row r="30" spans="1:9" s="340" customFormat="1" x14ac:dyDescent="0.2">
      <c r="A30" s="268"/>
      <c r="B30" s="202" t="s">
        <v>6</v>
      </c>
      <c r="C30" s="202"/>
      <c r="D30" s="202"/>
      <c r="E30" s="202"/>
      <c r="F30" s="202"/>
      <c r="G30" s="202"/>
      <c r="H30" s="202"/>
      <c r="I30" s="268"/>
    </row>
    <row r="31" spans="1:9" s="216" customFormat="1" ht="15.75" x14ac:dyDescent="0.2">
      <c r="A31" s="210"/>
      <c r="B31" s="214"/>
      <c r="C31" s="215" t="s">
        <v>114</v>
      </c>
      <c r="D31" s="215"/>
      <c r="E31" s="215"/>
      <c r="F31" s="215" t="s">
        <v>115</v>
      </c>
      <c r="G31" s="215"/>
      <c r="H31" s="215"/>
      <c r="I31" s="210"/>
    </row>
    <row r="32" spans="1:9" s="219" customFormat="1" ht="15.75" x14ac:dyDescent="0.2">
      <c r="A32" s="217"/>
      <c r="B32" s="218" t="s">
        <v>116</v>
      </c>
      <c r="C32" s="218" t="s">
        <v>117</v>
      </c>
      <c r="D32" s="218" t="s">
        <v>118</v>
      </c>
      <c r="E32" s="218" t="s">
        <v>119</v>
      </c>
      <c r="F32" s="218" t="s">
        <v>120</v>
      </c>
      <c r="G32" s="218" t="s">
        <v>121</v>
      </c>
      <c r="H32" s="218" t="s">
        <v>122</v>
      </c>
      <c r="I32" s="217"/>
    </row>
    <row r="33" spans="1:9" ht="15.75" x14ac:dyDescent="0.2">
      <c r="A33" s="268"/>
      <c r="B33" s="7">
        <v>1</v>
      </c>
      <c r="C33" s="419" t="s">
        <v>40</v>
      </c>
      <c r="D33" s="417" t="s">
        <v>40</v>
      </c>
      <c r="E33" s="417" t="s">
        <v>40</v>
      </c>
      <c r="F33" s="151">
        <f>Comparaison!C84</f>
        <v>1.3591259230738151</v>
      </c>
      <c r="G33" s="151">
        <f>Comparaison!O84</f>
        <v>1.3591259230738151</v>
      </c>
      <c r="H33" s="151">
        <f>Comparaison!AA84</f>
        <v>1.3591259230738151</v>
      </c>
      <c r="I33" s="268"/>
    </row>
    <row r="34" spans="1:9" ht="15.75" x14ac:dyDescent="0.2">
      <c r="A34" s="268"/>
      <c r="B34" s="7">
        <v>2</v>
      </c>
      <c r="C34" s="419" t="s">
        <v>30</v>
      </c>
      <c r="D34" s="417" t="s">
        <v>25</v>
      </c>
      <c r="E34" s="417" t="s">
        <v>30</v>
      </c>
      <c r="F34" s="151">
        <f>Comparaison!D84</f>
        <v>1.3683641774827866</v>
      </c>
      <c r="G34" s="151">
        <f>Comparaison!P84</f>
        <v>1.5265238397345178</v>
      </c>
      <c r="H34" s="151">
        <f>Comparaison!AB84</f>
        <v>1.3683641774827866</v>
      </c>
      <c r="I34" s="268"/>
    </row>
    <row r="35" spans="1:9" ht="30" x14ac:dyDescent="0.2">
      <c r="A35" s="268"/>
      <c r="B35" s="7">
        <v>3</v>
      </c>
      <c r="C35" s="420" t="s">
        <v>88</v>
      </c>
      <c r="D35" s="417" t="s">
        <v>32</v>
      </c>
      <c r="E35" s="417" t="s">
        <v>46</v>
      </c>
      <c r="F35" s="152" t="s">
        <v>88</v>
      </c>
      <c r="G35" s="151">
        <f>Comparaison!Q84</f>
        <v>0.21614794687929997</v>
      </c>
      <c r="H35" s="151">
        <f>Comparaison!AC84</f>
        <v>1.5328896947492383</v>
      </c>
      <c r="I35" s="268"/>
    </row>
    <row r="36" spans="1:9" ht="30" x14ac:dyDescent="0.2">
      <c r="A36" s="268"/>
      <c r="B36" s="7">
        <v>4</v>
      </c>
      <c r="C36" s="420" t="s">
        <v>88</v>
      </c>
      <c r="D36" s="418" t="s">
        <v>88</v>
      </c>
      <c r="E36" s="417" t="s">
        <v>32</v>
      </c>
      <c r="F36" s="152" t="s">
        <v>88</v>
      </c>
      <c r="G36" s="152" t="s">
        <v>88</v>
      </c>
      <c r="H36" s="151">
        <f>Comparaison!AD84</f>
        <v>0.21614794687929997</v>
      </c>
      <c r="I36" s="268"/>
    </row>
    <row r="37" spans="1:9" ht="15.75" customHeight="1" x14ac:dyDescent="0.2">
      <c r="A37" s="268"/>
      <c r="B37" s="116" t="s">
        <v>123</v>
      </c>
      <c r="C37" s="114">
        <f>NPV(Comparaison!$C$89,Comparaison!C74:D74)</f>
        <v>1723.8190654205612</v>
      </c>
      <c r="D37" s="114">
        <f>NPV(Comparaison!$C$89,Comparaison!O74:Q74)</f>
        <v>1297.1896371073326</v>
      </c>
      <c r="E37" s="114">
        <f>NPV(Comparaison!$C$89,Comparaison!AA74:AD74)</f>
        <v>1647.3489354044457</v>
      </c>
      <c r="F37" s="116"/>
      <c r="G37" s="116"/>
      <c r="H37" s="116"/>
      <c r="I37" s="268"/>
    </row>
    <row r="38" spans="1:9" x14ac:dyDescent="0.2">
      <c r="A38" s="268"/>
      <c r="B38" s="268"/>
      <c r="C38" s="268"/>
      <c r="D38" s="268"/>
      <c r="E38" s="268"/>
      <c r="F38" s="268"/>
      <c r="G38" s="268"/>
      <c r="H38" s="268"/>
      <c r="I38" s="268"/>
    </row>
    <row r="39" spans="1:9" s="216" customFormat="1" ht="15.75" x14ac:dyDescent="0.2">
      <c r="A39" s="210"/>
      <c r="B39" s="220" t="s">
        <v>124</v>
      </c>
      <c r="C39" s="214"/>
      <c r="D39" s="214"/>
      <c r="E39" s="214"/>
      <c r="F39" s="214"/>
      <c r="G39" s="214"/>
      <c r="H39" s="214"/>
      <c r="I39" s="210"/>
    </row>
    <row r="40" spans="1:9" x14ac:dyDescent="0.2">
      <c r="A40" s="268"/>
      <c r="B40" s="202"/>
      <c r="C40" s="202"/>
      <c r="D40" s="202"/>
      <c r="E40" s="202"/>
      <c r="F40" s="202"/>
      <c r="G40" s="202"/>
      <c r="H40" s="202"/>
      <c r="I40" s="268"/>
    </row>
    <row r="41" spans="1:9" x14ac:dyDescent="0.2">
      <c r="A41" s="268"/>
      <c r="B41" s="202"/>
      <c r="C41" s="202"/>
      <c r="D41" s="202"/>
      <c r="E41" s="202"/>
      <c r="F41" s="202"/>
      <c r="G41" s="202"/>
      <c r="H41" s="202"/>
      <c r="I41" s="268"/>
    </row>
    <row r="42" spans="1:9" x14ac:dyDescent="0.2">
      <c r="A42" s="268"/>
      <c r="B42" s="202"/>
      <c r="C42" s="202"/>
      <c r="D42" s="202"/>
      <c r="E42" s="202"/>
      <c r="F42" s="202"/>
      <c r="G42" s="202"/>
      <c r="H42" s="202"/>
      <c r="I42" s="268"/>
    </row>
    <row r="43" spans="1:9" x14ac:dyDescent="0.2">
      <c r="A43" s="268"/>
      <c r="B43" s="202"/>
      <c r="C43" s="202"/>
      <c r="D43" s="202"/>
      <c r="E43" s="202"/>
      <c r="F43" s="202"/>
      <c r="G43" s="202"/>
      <c r="H43" s="202"/>
      <c r="I43" s="268"/>
    </row>
    <row r="44" spans="1:9" x14ac:dyDescent="0.2">
      <c r="A44" s="268"/>
      <c r="B44" s="202"/>
      <c r="C44" s="202"/>
      <c r="D44" s="202"/>
      <c r="E44" s="202"/>
      <c r="F44" s="202"/>
      <c r="G44" s="202"/>
      <c r="H44" s="202"/>
      <c r="I44" s="268"/>
    </row>
    <row r="45" spans="1:9" x14ac:dyDescent="0.2">
      <c r="A45" s="268"/>
      <c r="B45" s="202"/>
      <c r="C45" s="202"/>
      <c r="D45" s="202"/>
      <c r="E45" s="202"/>
      <c r="F45" s="202"/>
      <c r="G45" s="202"/>
      <c r="H45" s="202"/>
      <c r="I45" s="268"/>
    </row>
    <row r="46" spans="1:9" x14ac:dyDescent="0.2">
      <c r="A46" s="268"/>
      <c r="B46" s="202"/>
      <c r="C46" s="202"/>
      <c r="D46" s="202"/>
      <c r="E46" s="202"/>
      <c r="F46" s="202"/>
      <c r="G46" s="202"/>
      <c r="H46" s="202"/>
      <c r="I46" s="268"/>
    </row>
    <row r="47" spans="1:9" x14ac:dyDescent="0.2">
      <c r="A47" s="268"/>
      <c r="B47" s="202"/>
      <c r="C47" s="202"/>
      <c r="D47" s="202"/>
      <c r="E47" s="202"/>
      <c r="F47" s="202"/>
      <c r="G47" s="202"/>
      <c r="H47" s="202"/>
      <c r="I47" s="268"/>
    </row>
    <row r="48" spans="1:9" x14ac:dyDescent="0.2">
      <c r="A48" s="268"/>
      <c r="B48" s="202"/>
      <c r="C48" s="202"/>
      <c r="D48" s="202"/>
      <c r="E48" s="202"/>
      <c r="F48" s="202"/>
      <c r="G48" s="202"/>
      <c r="H48" s="202"/>
      <c r="I48" s="268"/>
    </row>
    <row r="49" spans="1:9" x14ac:dyDescent="0.2">
      <c r="A49" s="268"/>
      <c r="B49" s="202"/>
      <c r="C49" s="202"/>
      <c r="D49" s="202"/>
      <c r="E49" s="202"/>
      <c r="F49" s="202"/>
      <c r="G49" s="202"/>
      <c r="H49" s="202"/>
      <c r="I49" s="268"/>
    </row>
    <row r="50" spans="1:9" x14ac:dyDescent="0.2">
      <c r="A50" s="268"/>
      <c r="B50" s="202"/>
      <c r="C50" s="202"/>
      <c r="D50" s="202"/>
      <c r="E50" s="202"/>
      <c r="F50" s="202"/>
      <c r="G50" s="202"/>
      <c r="H50" s="202"/>
      <c r="I50" s="268"/>
    </row>
    <row r="51" spans="1:9" ht="15.75" x14ac:dyDescent="0.2">
      <c r="A51" s="268"/>
      <c r="B51" s="202" t="s">
        <v>386</v>
      </c>
      <c r="C51" s="202"/>
      <c r="D51" s="202"/>
      <c r="E51" s="202"/>
      <c r="F51" s="202"/>
      <c r="G51" s="202"/>
      <c r="H51" s="202"/>
      <c r="I51" s="268"/>
    </row>
    <row r="52" spans="1:9" x14ac:dyDescent="0.2">
      <c r="A52" s="268"/>
      <c r="B52" s="202" t="s">
        <v>125</v>
      </c>
      <c r="C52" s="202"/>
      <c r="D52" s="202"/>
      <c r="E52" s="202"/>
      <c r="F52" s="202"/>
      <c r="G52" s="202"/>
      <c r="H52" s="202"/>
      <c r="I52" s="268"/>
    </row>
    <row r="53" spans="1:9" x14ac:dyDescent="0.2">
      <c r="A53" s="268"/>
      <c r="B53" s="202" t="s">
        <v>126</v>
      </c>
      <c r="C53" s="202"/>
      <c r="D53" s="202"/>
      <c r="E53" s="202"/>
      <c r="F53" s="202"/>
      <c r="G53" s="202"/>
      <c r="H53" s="202"/>
      <c r="I53" s="268"/>
    </row>
    <row r="54" spans="1:9" ht="33" customHeight="1" x14ac:dyDescent="0.2">
      <c r="A54" s="268"/>
      <c r="B54" s="447" t="s">
        <v>127</v>
      </c>
      <c r="C54" s="447"/>
      <c r="D54" s="447"/>
      <c r="E54" s="447"/>
      <c r="F54" s="447"/>
      <c r="G54" s="447"/>
      <c r="H54" s="447"/>
      <c r="I54" s="268"/>
    </row>
    <row r="55" spans="1:9" x14ac:dyDescent="0.2">
      <c r="A55" s="268"/>
      <c r="B55" s="268"/>
      <c r="C55" s="268"/>
      <c r="D55" s="268"/>
      <c r="E55" s="268"/>
      <c r="F55" s="268"/>
      <c r="G55" s="268"/>
      <c r="H55" s="268"/>
      <c r="I55" s="268"/>
    </row>
    <row r="56" spans="1:9" s="216" customFormat="1" ht="15.75" hidden="1" x14ac:dyDescent="0.2">
      <c r="A56" s="210"/>
      <c r="B56" s="220" t="s">
        <v>128</v>
      </c>
      <c r="C56" s="214"/>
      <c r="D56" s="214"/>
      <c r="E56" s="214"/>
      <c r="F56" s="214"/>
      <c r="G56" s="214"/>
      <c r="H56" s="214"/>
      <c r="I56" s="210"/>
    </row>
    <row r="57" spans="1:9" ht="21" hidden="1" customHeight="1" x14ac:dyDescent="0.2">
      <c r="A57" s="268"/>
      <c r="B57" s="470" t="s">
        <v>129</v>
      </c>
      <c r="C57" s="470"/>
      <c r="D57" s="470"/>
      <c r="E57" s="470"/>
      <c r="F57" s="470"/>
      <c r="G57" s="470"/>
      <c r="H57" s="470"/>
      <c r="I57" s="268"/>
    </row>
    <row r="58" spans="1:9" hidden="1" x14ac:dyDescent="0.2">
      <c r="A58" s="268"/>
      <c r="B58" s="202" t="s">
        <v>130</v>
      </c>
      <c r="C58" s="202"/>
      <c r="D58" s="202"/>
      <c r="E58" s="202"/>
      <c r="F58" s="202"/>
      <c r="G58" s="202"/>
      <c r="H58" s="202"/>
      <c r="I58" s="268"/>
    </row>
    <row r="59" spans="1:9" hidden="1" x14ac:dyDescent="0.2">
      <c r="A59" s="268"/>
      <c r="B59" s="202" t="s">
        <v>131</v>
      </c>
      <c r="C59" s="202"/>
      <c r="D59" s="202"/>
      <c r="E59" s="202"/>
      <c r="F59" s="202"/>
      <c r="G59" s="202"/>
      <c r="H59" s="202"/>
      <c r="I59" s="268"/>
    </row>
    <row r="60" spans="1:9" ht="18" hidden="1" customHeight="1" x14ac:dyDescent="0.2">
      <c r="A60" s="268"/>
      <c r="B60" s="447" t="s">
        <v>132</v>
      </c>
      <c r="C60" s="447"/>
      <c r="D60" s="447"/>
      <c r="E60" s="447"/>
      <c r="F60" s="447"/>
      <c r="G60" s="447"/>
      <c r="H60" s="447"/>
      <c r="I60" s="268"/>
    </row>
    <row r="61" spans="1:9" s="216" customFormat="1" ht="15.75" x14ac:dyDescent="0.2">
      <c r="A61" s="210"/>
      <c r="B61" s="220" t="s">
        <v>114</v>
      </c>
      <c r="C61" s="220"/>
      <c r="D61" s="220"/>
      <c r="E61" s="220"/>
      <c r="F61" s="218" t="s">
        <v>133</v>
      </c>
      <c r="G61" s="218" t="s">
        <v>134</v>
      </c>
      <c r="H61" s="218" t="s">
        <v>135</v>
      </c>
      <c r="I61" s="210"/>
    </row>
    <row r="62" spans="1:9" ht="15.75" x14ac:dyDescent="0.2">
      <c r="A62" s="268"/>
      <c r="B62" s="28" t="s">
        <v>136</v>
      </c>
      <c r="C62" s="26"/>
      <c r="D62" s="26"/>
      <c r="E62" s="26"/>
      <c r="F62" s="6">
        <f>Comparaison!C95</f>
        <v>8251.0753221889918</v>
      </c>
      <c r="G62" s="6">
        <f>Comparaison!D95</f>
        <v>4237.5586803581091</v>
      </c>
      <c r="H62" s="6">
        <f>Comparaison!E95</f>
        <v>4131.0548487029182</v>
      </c>
      <c r="I62" s="268"/>
    </row>
    <row r="63" spans="1:9" ht="15.75" hidden="1" x14ac:dyDescent="0.2">
      <c r="A63" s="268"/>
      <c r="B63" s="14" t="str">
        <f>Comparaison!B96</f>
        <v>Most beneficial</v>
      </c>
      <c r="C63" s="27"/>
      <c r="D63" s="27"/>
      <c r="E63" s="27"/>
      <c r="F63" s="153" t="str">
        <f>Comparaison!C96</f>
        <v>2-year rotation</v>
      </c>
      <c r="G63" s="154"/>
      <c r="H63" s="155"/>
      <c r="I63" s="268"/>
    </row>
    <row r="64" spans="1:9" ht="15.75" hidden="1" x14ac:dyDescent="0.2">
      <c r="A64" s="268"/>
      <c r="B64" s="14" t="str">
        <f>Comparaison!B98</f>
        <v>2-year vs 4-year rotation</v>
      </c>
      <c r="C64" s="27"/>
      <c r="D64" s="27"/>
      <c r="E64" s="27"/>
      <c r="F64" s="156" t="str">
        <f>Comparaison!C98</f>
        <v>2-year rotation</v>
      </c>
      <c r="G64" s="157"/>
      <c r="H64" s="158"/>
      <c r="I64" s="268"/>
    </row>
    <row r="65" spans="1:13" ht="15.75" hidden="1" x14ac:dyDescent="0.2">
      <c r="A65" s="268"/>
      <c r="B65" s="371" t="s">
        <v>137</v>
      </c>
      <c r="C65" s="372"/>
      <c r="D65" s="372"/>
      <c r="E65" s="372"/>
      <c r="F65" s="372"/>
      <c r="G65" s="372"/>
      <c r="H65" s="373"/>
      <c r="I65" s="268"/>
      <c r="J65" s="340"/>
      <c r="K65" s="340"/>
      <c r="L65" s="340"/>
      <c r="M65" s="340"/>
    </row>
    <row r="66" spans="1:13" hidden="1" x14ac:dyDescent="0.2">
      <c r="A66" s="268"/>
      <c r="B66" s="202"/>
      <c r="C66" s="202"/>
      <c r="D66" s="202"/>
      <c r="E66" s="202"/>
      <c r="F66" s="202"/>
      <c r="G66" s="202"/>
      <c r="H66" s="202"/>
      <c r="I66" s="268"/>
      <c r="J66" s="340"/>
      <c r="K66" s="340"/>
      <c r="L66" s="340"/>
      <c r="M66" s="340"/>
    </row>
    <row r="67" spans="1:13" x14ac:dyDescent="0.2">
      <c r="A67" s="268"/>
      <c r="B67" s="202"/>
      <c r="C67" s="202"/>
      <c r="D67" s="202"/>
      <c r="E67" s="202"/>
      <c r="F67" s="202"/>
      <c r="G67" s="202"/>
      <c r="H67" s="202"/>
      <c r="I67" s="268"/>
      <c r="J67" s="340"/>
      <c r="K67" s="340"/>
      <c r="L67" s="340"/>
      <c r="M67" s="340"/>
    </row>
    <row r="68" spans="1:13" s="216" customFormat="1" x14ac:dyDescent="0.2">
      <c r="A68" s="210"/>
      <c r="B68" s="221"/>
      <c r="C68" s="221"/>
      <c r="D68" s="221"/>
      <c r="E68" s="221"/>
      <c r="F68" s="221"/>
      <c r="G68" s="221"/>
      <c r="H68" s="221"/>
      <c r="I68" s="210"/>
    </row>
    <row r="69" spans="1:13" x14ac:dyDescent="0.2">
      <c r="A69" s="268"/>
      <c r="B69" s="374"/>
      <c r="C69" s="374"/>
      <c r="D69" s="374"/>
      <c r="E69" s="374"/>
      <c r="F69" s="374"/>
      <c r="G69" s="374"/>
      <c r="H69" s="374"/>
      <c r="I69" s="268"/>
      <c r="J69" s="340"/>
      <c r="K69" s="340"/>
      <c r="L69" s="340"/>
      <c r="M69" s="340"/>
    </row>
    <row r="70" spans="1:13" ht="15.75" x14ac:dyDescent="0.2">
      <c r="A70" s="268"/>
      <c r="B70" s="374"/>
      <c r="C70" s="374"/>
      <c r="D70" s="374"/>
      <c r="E70" s="374"/>
      <c r="F70" s="374"/>
      <c r="G70" s="374"/>
      <c r="H70" s="374"/>
      <c r="I70" s="268"/>
      <c r="J70" s="29"/>
      <c r="K70" s="29"/>
      <c r="L70" s="29"/>
      <c r="M70" s="29"/>
    </row>
    <row r="71" spans="1:13" ht="15.75" x14ac:dyDescent="0.2">
      <c r="A71" s="268"/>
      <c r="B71" s="374"/>
      <c r="C71" s="374"/>
      <c r="D71" s="374"/>
      <c r="E71" s="374"/>
      <c r="F71" s="374"/>
      <c r="G71" s="374"/>
      <c r="H71" s="393"/>
      <c r="I71" s="268"/>
      <c r="J71" s="29"/>
      <c r="K71" s="29"/>
      <c r="L71" s="29"/>
      <c r="M71" s="29"/>
    </row>
    <row r="72" spans="1:13" ht="15.75" x14ac:dyDescent="0.2">
      <c r="A72" s="268"/>
      <c r="B72" s="374"/>
      <c r="C72" s="374"/>
      <c r="D72" s="374"/>
      <c r="E72" s="374"/>
      <c r="F72" s="374"/>
      <c r="G72" s="374"/>
      <c r="H72" s="374"/>
      <c r="I72" s="268"/>
      <c r="J72" s="29"/>
      <c r="K72" s="29"/>
      <c r="L72" s="29"/>
      <c r="M72" s="29"/>
    </row>
    <row r="73" spans="1:13" x14ac:dyDescent="0.2">
      <c r="A73" s="268"/>
      <c r="B73" s="202"/>
      <c r="C73" s="202"/>
      <c r="D73" s="202"/>
      <c r="E73" s="202"/>
      <c r="F73" s="202"/>
      <c r="G73" s="202"/>
      <c r="H73" s="202"/>
      <c r="I73" s="268"/>
      <c r="J73" s="340"/>
      <c r="K73" s="340"/>
      <c r="L73" s="340"/>
      <c r="M73" s="340"/>
    </row>
    <row r="74" spans="1:13" x14ac:dyDescent="0.2">
      <c r="A74" s="268"/>
      <c r="B74" s="202"/>
      <c r="C74" s="202"/>
      <c r="D74" s="202"/>
      <c r="E74" s="202"/>
      <c r="F74" s="202"/>
      <c r="G74" s="202"/>
      <c r="H74" s="202"/>
      <c r="I74" s="268"/>
      <c r="J74" s="340"/>
      <c r="K74" s="340"/>
      <c r="L74" s="340"/>
      <c r="M74" s="340"/>
    </row>
    <row r="75" spans="1:13" x14ac:dyDescent="0.2">
      <c r="A75" s="268"/>
      <c r="B75" s="202"/>
      <c r="C75" s="202"/>
      <c r="D75" s="202"/>
      <c r="E75" s="202"/>
      <c r="F75" s="202"/>
      <c r="G75" s="202"/>
      <c r="H75" s="202"/>
      <c r="I75" s="268"/>
      <c r="J75" s="340"/>
      <c r="K75" s="340"/>
      <c r="L75" s="340"/>
      <c r="M75" s="340"/>
    </row>
    <row r="76" spans="1:13" x14ac:dyDescent="0.2">
      <c r="A76" s="268"/>
      <c r="B76" s="202"/>
      <c r="C76" s="202"/>
      <c r="D76" s="202"/>
      <c r="E76" s="202"/>
      <c r="F76" s="202"/>
      <c r="G76" s="202"/>
      <c r="H76" s="202"/>
      <c r="I76" s="268"/>
      <c r="J76" s="340"/>
      <c r="K76" s="340"/>
      <c r="L76" s="340"/>
      <c r="M76" s="340"/>
    </row>
    <row r="77" spans="1:13" x14ac:dyDescent="0.2">
      <c r="A77" s="268"/>
      <c r="B77" s="202"/>
      <c r="C77" s="202"/>
      <c r="D77" s="202"/>
      <c r="E77" s="202"/>
      <c r="F77" s="202"/>
      <c r="G77" s="202"/>
      <c r="H77" s="202"/>
      <c r="I77" s="268"/>
      <c r="J77" s="340"/>
      <c r="K77" s="340"/>
      <c r="L77" s="340"/>
      <c r="M77" s="340"/>
    </row>
    <row r="78" spans="1:13" x14ac:dyDescent="0.2">
      <c r="A78" s="268"/>
      <c r="B78" s="202"/>
      <c r="C78" s="202"/>
      <c r="D78" s="202"/>
      <c r="E78" s="202"/>
      <c r="F78" s="202"/>
      <c r="G78" s="202"/>
      <c r="H78" s="202"/>
      <c r="I78" s="268"/>
      <c r="J78" s="340"/>
      <c r="K78" s="340"/>
      <c r="L78" s="340"/>
      <c r="M78" s="340"/>
    </row>
    <row r="79" spans="1:13" x14ac:dyDescent="0.2">
      <c r="A79" s="268"/>
      <c r="B79" s="202"/>
      <c r="C79" s="202"/>
      <c r="D79" s="202"/>
      <c r="E79" s="202"/>
      <c r="F79" s="202"/>
      <c r="G79" s="202"/>
      <c r="H79" s="202"/>
      <c r="I79" s="268"/>
      <c r="J79" s="340"/>
      <c r="K79" s="340"/>
      <c r="L79" s="340"/>
      <c r="M79" s="340"/>
    </row>
    <row r="80" spans="1:13" x14ac:dyDescent="0.2">
      <c r="A80" s="268"/>
      <c r="B80" s="202"/>
      <c r="C80" s="202"/>
      <c r="D80" s="202"/>
      <c r="E80" s="202"/>
      <c r="F80" s="202"/>
      <c r="G80" s="202"/>
      <c r="H80" s="202"/>
      <c r="I80" s="268"/>
      <c r="J80" s="340"/>
      <c r="K80" s="340"/>
      <c r="L80" s="340"/>
      <c r="M80" s="340"/>
    </row>
    <row r="81" spans="2:13" x14ac:dyDescent="0.2">
      <c r="B81" s="202"/>
      <c r="C81" s="202"/>
      <c r="D81" s="202"/>
      <c r="E81" s="202"/>
      <c r="F81" s="202"/>
      <c r="G81" s="202"/>
      <c r="H81" s="202"/>
      <c r="I81" s="268"/>
      <c r="J81" s="340"/>
      <c r="K81" s="340"/>
      <c r="L81" s="340"/>
      <c r="M81" s="340"/>
    </row>
    <row r="82" spans="2:13" x14ac:dyDescent="0.2">
      <c r="B82" s="202"/>
      <c r="C82" s="202"/>
      <c r="D82" s="202"/>
      <c r="E82" s="202"/>
      <c r="F82" s="202"/>
      <c r="G82" s="202"/>
      <c r="H82" s="202"/>
      <c r="I82" s="268"/>
      <c r="J82" s="340"/>
      <c r="K82" s="340"/>
      <c r="L82" s="340"/>
      <c r="M82" s="340"/>
    </row>
    <row r="83" spans="2:13" x14ac:dyDescent="0.2">
      <c r="B83" s="202"/>
      <c r="C83" s="202"/>
      <c r="D83" s="202"/>
      <c r="E83" s="202"/>
      <c r="F83" s="202"/>
      <c r="G83" s="202"/>
      <c r="H83" s="202"/>
      <c r="I83" s="268"/>
      <c r="J83" s="340"/>
      <c r="K83" s="340"/>
      <c r="L83" s="340"/>
      <c r="M83" s="340"/>
    </row>
    <row r="84" spans="2:13" x14ac:dyDescent="0.2">
      <c r="B84" s="202"/>
      <c r="C84" s="202"/>
      <c r="D84" s="202"/>
      <c r="E84" s="202"/>
      <c r="F84" s="202"/>
      <c r="G84" s="202"/>
      <c r="H84" s="202"/>
      <c r="I84" s="268"/>
      <c r="J84" s="340"/>
      <c r="K84" s="340"/>
      <c r="L84" s="340"/>
      <c r="M84" s="340"/>
    </row>
    <row r="85" spans="2:13" x14ac:dyDescent="0.2">
      <c r="B85" s="202"/>
      <c r="C85" s="202"/>
      <c r="D85" s="202"/>
      <c r="E85" s="202"/>
      <c r="F85" s="202"/>
      <c r="G85" s="202"/>
      <c r="H85" s="202"/>
      <c r="I85" s="268"/>
      <c r="J85" s="340"/>
      <c r="K85" s="340"/>
      <c r="L85" s="340"/>
      <c r="M85" s="340"/>
    </row>
    <row r="86" spans="2:13" x14ac:dyDescent="0.2">
      <c r="B86" s="202"/>
      <c r="C86" s="202"/>
      <c r="D86" s="202"/>
      <c r="E86" s="202"/>
      <c r="F86" s="202"/>
      <c r="G86" s="202"/>
      <c r="H86" s="202"/>
      <c r="I86" s="268"/>
      <c r="J86" s="340"/>
      <c r="K86" s="340"/>
      <c r="L86" s="340"/>
      <c r="M86" s="340"/>
    </row>
    <row r="87" spans="2:13" x14ac:dyDescent="0.2">
      <c r="B87" s="202"/>
      <c r="C87" s="202"/>
      <c r="D87" s="202"/>
      <c r="E87" s="202"/>
      <c r="F87" s="202"/>
      <c r="G87" s="202"/>
      <c r="H87" s="202"/>
      <c r="I87" s="268"/>
      <c r="J87" s="340"/>
      <c r="K87" s="340"/>
      <c r="L87" s="340"/>
      <c r="M87" s="340"/>
    </row>
    <row r="88" spans="2:13" x14ac:dyDescent="0.2">
      <c r="B88" s="202"/>
      <c r="C88" s="202"/>
      <c r="D88" s="202"/>
      <c r="E88" s="202"/>
      <c r="F88" s="202"/>
      <c r="G88" s="202"/>
      <c r="H88" s="202"/>
      <c r="I88" s="268"/>
      <c r="J88" s="340"/>
      <c r="K88" s="340"/>
      <c r="L88" s="340"/>
      <c r="M88" s="340"/>
    </row>
    <row r="89" spans="2:13" x14ac:dyDescent="0.2">
      <c r="B89" s="202"/>
      <c r="C89" s="202"/>
      <c r="D89" s="202"/>
      <c r="E89" s="202"/>
      <c r="F89" s="202"/>
      <c r="G89" s="202"/>
      <c r="H89" s="202"/>
      <c r="I89" s="268"/>
      <c r="J89" s="340"/>
      <c r="K89" s="340"/>
      <c r="L89" s="340"/>
      <c r="M89" s="340"/>
    </row>
    <row r="90" spans="2:13" x14ac:dyDescent="0.2">
      <c r="B90" s="202"/>
      <c r="C90" s="202"/>
      <c r="D90" s="202"/>
      <c r="E90" s="202"/>
      <c r="F90" s="202"/>
      <c r="G90" s="202"/>
      <c r="H90" s="202"/>
      <c r="I90" s="268"/>
      <c r="J90" s="340"/>
      <c r="K90" s="340"/>
      <c r="L90" s="340"/>
      <c r="M90" s="340"/>
    </row>
    <row r="91" spans="2:13" x14ac:dyDescent="0.2">
      <c r="B91" s="202"/>
      <c r="C91" s="202"/>
      <c r="D91" s="202"/>
      <c r="E91" s="202"/>
      <c r="F91" s="202"/>
      <c r="G91" s="202"/>
      <c r="H91" s="202"/>
      <c r="I91" s="268"/>
      <c r="J91" s="340"/>
      <c r="K91" s="340"/>
      <c r="L91" s="340"/>
      <c r="M91" s="340"/>
    </row>
    <row r="92" spans="2:13" x14ac:dyDescent="0.2">
      <c r="B92" s="202"/>
      <c r="C92" s="202"/>
      <c r="D92" s="202"/>
      <c r="E92" s="202"/>
      <c r="F92" s="202"/>
      <c r="G92" s="92"/>
      <c r="H92" s="84"/>
      <c r="I92" s="268"/>
      <c r="J92" s="340"/>
      <c r="K92" s="340"/>
      <c r="L92" s="340"/>
      <c r="M92" s="340"/>
    </row>
    <row r="93" spans="2:13" x14ac:dyDescent="0.2">
      <c r="B93" s="202"/>
      <c r="C93" s="202"/>
      <c r="D93" s="202"/>
      <c r="E93" s="202"/>
      <c r="F93" s="202"/>
      <c r="G93" s="92"/>
      <c r="H93" s="84"/>
      <c r="I93" s="268"/>
      <c r="J93" s="340"/>
      <c r="K93" s="340"/>
      <c r="L93" s="340"/>
      <c r="M93" s="340"/>
    </row>
    <row r="94" spans="2:13" x14ac:dyDescent="0.2">
      <c r="B94" s="202"/>
      <c r="C94" s="202"/>
      <c r="D94" s="202"/>
      <c r="E94" s="202"/>
      <c r="F94" s="202"/>
      <c r="G94" s="92"/>
      <c r="H94" s="84"/>
      <c r="I94" s="268"/>
      <c r="J94" s="340"/>
      <c r="K94" s="340"/>
      <c r="L94" s="340"/>
      <c r="M94" s="340"/>
    </row>
    <row r="95" spans="2:13" x14ac:dyDescent="0.2">
      <c r="B95" s="202"/>
      <c r="C95" s="202"/>
      <c r="D95" s="202"/>
      <c r="E95" s="202"/>
      <c r="F95" s="202"/>
      <c r="G95" s="92"/>
      <c r="H95" s="84"/>
      <c r="I95" s="268"/>
      <c r="J95" s="340"/>
      <c r="K95" s="340"/>
      <c r="L95" s="340"/>
      <c r="M95" s="340"/>
    </row>
    <row r="96" spans="2:13" x14ac:dyDescent="0.2">
      <c r="B96" s="202"/>
      <c r="C96" s="202"/>
      <c r="D96" s="202"/>
      <c r="E96" s="202"/>
      <c r="F96" s="202"/>
      <c r="G96" s="92"/>
      <c r="H96" s="84"/>
      <c r="I96" s="268"/>
      <c r="J96" s="340"/>
      <c r="K96" s="340"/>
      <c r="L96" s="340"/>
      <c r="M96" s="340"/>
    </row>
    <row r="97" spans="1:16" x14ac:dyDescent="0.2">
      <c r="A97" s="268"/>
      <c r="B97" s="202"/>
      <c r="C97" s="202"/>
      <c r="D97" s="202"/>
      <c r="E97" s="202"/>
      <c r="F97" s="202"/>
      <c r="G97" s="92"/>
      <c r="H97" s="84"/>
      <c r="I97" s="268"/>
      <c r="J97" s="340"/>
      <c r="K97" s="340"/>
      <c r="L97" s="340"/>
      <c r="M97" s="340"/>
      <c r="N97" s="340"/>
      <c r="O97" s="340"/>
      <c r="P97" s="340"/>
    </row>
    <row r="98" spans="1:16" x14ac:dyDescent="0.2">
      <c r="A98" s="268"/>
      <c r="B98" s="202"/>
      <c r="C98" s="202"/>
      <c r="D98" s="202"/>
      <c r="E98" s="202"/>
      <c r="F98" s="202"/>
      <c r="G98" s="92"/>
      <c r="H98" s="84"/>
      <c r="I98" s="268"/>
      <c r="J98" s="340"/>
      <c r="K98" s="340"/>
      <c r="L98" s="340"/>
      <c r="M98" s="340"/>
      <c r="N98" s="340"/>
      <c r="O98" s="340"/>
      <c r="P98" s="340"/>
    </row>
    <row r="99" spans="1:16" x14ac:dyDescent="0.2">
      <c r="A99" s="268"/>
      <c r="B99" s="202"/>
      <c r="C99" s="202"/>
      <c r="D99" s="202"/>
      <c r="E99" s="202"/>
      <c r="F99" s="202"/>
      <c r="G99" s="92"/>
      <c r="H99" s="84"/>
      <c r="I99" s="268"/>
      <c r="J99" s="340"/>
      <c r="K99" s="340"/>
      <c r="L99" s="340"/>
      <c r="M99" s="340"/>
      <c r="N99" s="340"/>
      <c r="O99" s="340"/>
      <c r="P99" s="340"/>
    </row>
    <row r="100" spans="1:16" x14ac:dyDescent="0.2">
      <c r="A100" s="268"/>
      <c r="B100" s="202"/>
      <c r="C100" s="202"/>
      <c r="D100" s="202"/>
      <c r="E100" s="202"/>
      <c r="F100" s="202"/>
      <c r="G100" s="200"/>
      <c r="H100" s="200"/>
      <c r="I100" s="268"/>
      <c r="J100" s="340"/>
      <c r="K100" s="340"/>
      <c r="L100" s="340"/>
      <c r="M100" s="340"/>
      <c r="N100" s="340"/>
      <c r="O100" s="340"/>
      <c r="P100" s="340"/>
    </row>
    <row r="101" spans="1:16" ht="77.099999999999994" customHeight="1" x14ac:dyDescent="0.2">
      <c r="A101" s="268"/>
      <c r="B101" s="468" t="s">
        <v>138</v>
      </c>
      <c r="C101" s="468"/>
      <c r="D101" s="468"/>
      <c r="E101" s="468"/>
      <c r="F101" s="468"/>
      <c r="G101" s="468"/>
      <c r="H101" s="468"/>
      <c r="I101" s="268"/>
      <c r="J101" s="340"/>
      <c r="K101" s="340"/>
      <c r="L101" s="340"/>
      <c r="M101" s="340"/>
      <c r="N101" s="340"/>
      <c r="O101" s="340"/>
      <c r="P101" s="340"/>
    </row>
    <row r="102" spans="1:16" ht="30.75" hidden="1" customHeight="1" x14ac:dyDescent="0.2">
      <c r="A102" s="268"/>
      <c r="B102" s="452"/>
      <c r="C102" s="452"/>
      <c r="D102" s="452"/>
      <c r="E102" s="452"/>
      <c r="F102" s="452"/>
      <c r="G102" s="452"/>
      <c r="H102" s="452"/>
      <c r="I102" s="268"/>
      <c r="J102" s="340"/>
      <c r="K102" s="340"/>
      <c r="L102" s="340"/>
      <c r="M102" s="340"/>
      <c r="N102" s="340"/>
      <c r="O102" s="340"/>
      <c r="P102" s="340"/>
    </row>
    <row r="103" spans="1:16" ht="33" hidden="1" customHeight="1" x14ac:dyDescent="0.2">
      <c r="A103" s="268"/>
      <c r="B103" s="452"/>
      <c r="C103" s="452"/>
      <c r="D103" s="452"/>
      <c r="E103" s="452"/>
      <c r="F103" s="452"/>
      <c r="G103" s="452"/>
      <c r="H103" s="452"/>
      <c r="I103" s="268"/>
      <c r="J103" s="340"/>
      <c r="K103" s="340"/>
      <c r="L103" s="340"/>
      <c r="M103" s="340"/>
      <c r="N103" s="340"/>
      <c r="O103" s="340"/>
      <c r="P103" s="340"/>
    </row>
    <row r="104" spans="1:16" x14ac:dyDescent="0.2">
      <c r="A104" s="268"/>
      <c r="B104" s="268"/>
      <c r="C104" s="268"/>
      <c r="D104" s="268"/>
      <c r="E104" s="268"/>
      <c r="F104" s="268"/>
      <c r="G104" s="268"/>
      <c r="H104" s="268"/>
      <c r="I104" s="268"/>
      <c r="J104" s="340"/>
      <c r="K104" s="340"/>
      <c r="L104" s="340"/>
      <c r="M104" s="340"/>
      <c r="N104" s="340"/>
      <c r="O104" s="340"/>
      <c r="P104" s="340"/>
    </row>
    <row r="105" spans="1:16" hidden="1" x14ac:dyDescent="0.2">
      <c r="A105" s="268"/>
      <c r="B105" s="202"/>
      <c r="C105" s="202"/>
      <c r="D105" s="202"/>
      <c r="E105" s="202"/>
      <c r="F105" s="202"/>
      <c r="G105" s="202"/>
      <c r="H105" s="202"/>
      <c r="I105" s="268"/>
      <c r="J105" s="340"/>
      <c r="K105" s="340"/>
      <c r="L105" s="340"/>
      <c r="M105" s="340"/>
      <c r="N105" s="340"/>
      <c r="O105" s="340"/>
      <c r="P105" s="340"/>
    </row>
    <row r="106" spans="1:16" hidden="1" x14ac:dyDescent="0.2">
      <c r="A106" s="268"/>
      <c r="B106" s="202"/>
      <c r="C106" s="202"/>
      <c r="D106" s="202"/>
      <c r="E106" s="202"/>
      <c r="F106" s="202"/>
      <c r="G106" s="202"/>
      <c r="H106" s="202"/>
      <c r="I106" s="268"/>
      <c r="J106" s="340"/>
      <c r="K106" s="340"/>
      <c r="L106" s="340"/>
      <c r="M106" s="340"/>
      <c r="N106" s="340"/>
      <c r="O106" s="340"/>
      <c r="P106" s="340"/>
    </row>
  </sheetData>
  <sheetProtection sheet="1" objects="1" scenarios="1"/>
  <mergeCells count="18">
    <mergeCell ref="B5:H5"/>
    <mergeCell ref="B57:H57"/>
    <mergeCell ref="B60:H60"/>
    <mergeCell ref="B17:H17"/>
    <mergeCell ref="B18:H18"/>
    <mergeCell ref="B21:H21"/>
    <mergeCell ref="B22:H22"/>
    <mergeCell ref="B23:H23"/>
    <mergeCell ref="B19:H19"/>
    <mergeCell ref="B20:H20"/>
    <mergeCell ref="B25:H25"/>
    <mergeCell ref="B54:H54"/>
    <mergeCell ref="B7:H7"/>
    <mergeCell ref="B13:H13"/>
    <mergeCell ref="B102:H102"/>
    <mergeCell ref="B103:H103"/>
    <mergeCell ref="B101:H101"/>
    <mergeCell ref="B24:H24"/>
  </mergeCells>
  <conditionalFormatting sqref="H3">
    <cfRule type="containsBlanks" dxfId="74" priority="2">
      <formula>LEN(TRIM(H3))=0</formula>
    </cfRule>
  </conditionalFormatting>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iconSet" priority="3298" id="{8773043B-D42D-4F79-8E04-8780A063E95F}">
            <x14:iconSet iconSet="3Symbols" custom="1">
              <x14:cfvo type="percent">
                <xm:f>0</xm:f>
              </x14:cfvo>
              <x14:cfvo type="num">
                <xm:f>0</xm:f>
              </x14:cfvo>
              <x14:cfvo type="num">
                <xm:f>0</xm:f>
              </x14:cfvo>
              <x14:cfIcon iconSet="3Symbols" iconId="2"/>
              <x14:cfIcon iconSet="3Symbols" iconId="2"/>
              <x14:cfIcon iconSet="3Symbols" iconId="2"/>
            </x14:iconSet>
          </x14:cfRule>
          <xm:sqref>H3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prompt="Click the arrow box to select the crop. " xr:uid="{B84D9DB4-CDE3-4133-856A-A57FEFB8A50A}">
          <x14:formula1>
            <xm:f>Introduction!$B$31:$B$46</xm:f>
          </x14:formula1>
          <xm:sqref>C33:E34 D35:E35 E36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DF290"/>
  <sheetViews>
    <sheetView topLeftCell="A33" zoomScale="60" zoomScaleNormal="60" workbookViewId="0">
      <pane xSplit="2" topLeftCell="C1" activePane="topRight" state="frozen"/>
      <selection pane="topRight" activeCell="B37" sqref="B37"/>
    </sheetView>
  </sheetViews>
  <sheetFormatPr defaultColWidth="0" defaultRowHeight="15" zeroHeight="1" x14ac:dyDescent="0.2"/>
  <cols>
    <col min="1" max="1" width="2.625" style="46" customWidth="1"/>
    <col min="2" max="2" width="168.625" style="141" customWidth="1"/>
    <col min="3" max="3" width="19.875" style="142" bestFit="1" customWidth="1"/>
    <col min="4" max="6" width="20.375" style="142" bestFit="1" customWidth="1"/>
    <col min="7" max="7" width="15.75" style="142" bestFit="1" customWidth="1"/>
    <col min="8" max="8" width="17.625" style="142" bestFit="1" customWidth="1"/>
    <col min="9" max="9" width="16" style="142" bestFit="1" customWidth="1"/>
    <col min="10" max="10" width="15.75" style="77" bestFit="1" customWidth="1"/>
    <col min="11" max="11" width="17.625" style="77" bestFit="1" customWidth="1"/>
    <col min="12" max="12" width="16" style="77" bestFit="1" customWidth="1"/>
    <col min="13" max="13" width="15.75" style="142" bestFit="1" customWidth="1"/>
    <col min="14" max="14" width="17.625" style="142" bestFit="1" customWidth="1"/>
    <col min="15" max="15" width="16" style="142" bestFit="1" customWidth="1"/>
    <col min="16" max="16" width="15.75" style="142" bestFit="1" customWidth="1"/>
    <col min="17" max="17" width="17.625" style="142" bestFit="1" customWidth="1"/>
    <col min="18" max="18" width="16" style="142" bestFit="1" customWidth="1"/>
    <col min="19" max="19" width="15.75" style="142" bestFit="1" customWidth="1"/>
    <col min="20" max="20" width="17.625" style="142" bestFit="1" customWidth="1"/>
    <col min="21" max="21" width="16" style="142" bestFit="1" customWidth="1"/>
    <col min="22" max="22" width="15.75" style="142" bestFit="1" customWidth="1"/>
    <col min="23" max="23" width="17.625" style="77" bestFit="1" customWidth="1"/>
    <col min="24" max="24" width="16" style="77" bestFit="1" customWidth="1"/>
    <col min="25" max="25" width="15.75" style="142" bestFit="1" customWidth="1"/>
    <col min="26" max="26" width="17.625" style="77" bestFit="1" customWidth="1"/>
    <col min="27" max="27" width="16" style="77" bestFit="1" customWidth="1"/>
    <col min="28" max="28" width="15.75" style="142" bestFit="1" customWidth="1"/>
    <col min="29" max="29" width="17.625" style="142" bestFit="1" customWidth="1"/>
    <col min="30" max="30" width="16" style="142" bestFit="1" customWidth="1"/>
    <col min="31" max="31" width="15.75" style="77" bestFit="1" customWidth="1"/>
    <col min="32" max="32" width="17.625" style="142" bestFit="1" customWidth="1"/>
    <col min="33" max="33" width="16" style="142" bestFit="1" customWidth="1"/>
    <col min="34" max="34" width="15.75" style="142" bestFit="1" customWidth="1"/>
    <col min="35" max="35" width="17.625" style="142" bestFit="1" customWidth="1"/>
    <col min="36" max="36" width="16" style="142" bestFit="1" customWidth="1"/>
    <col min="37" max="37" width="15.75" style="142" bestFit="1" customWidth="1"/>
    <col min="38" max="38" width="17.625" style="142" bestFit="1" customWidth="1"/>
    <col min="39" max="39" width="16" style="142" bestFit="1" customWidth="1"/>
    <col min="40" max="40" width="15.75" style="142" bestFit="1" customWidth="1"/>
    <col min="41" max="41" width="17.625" style="142" bestFit="1" customWidth="1"/>
    <col min="42" max="42" width="16" style="142" customWidth="1"/>
    <col min="43" max="43" width="2.625" style="46" customWidth="1"/>
    <col min="44" max="110" width="16.625" style="5" hidden="1" customWidth="1"/>
    <col min="111" max="16384" width="16.625" style="140" hidden="1"/>
  </cols>
  <sheetData>
    <row r="1" spans="1:110" s="147" customFormat="1" ht="20.100000000000001" customHeight="1" x14ac:dyDescent="0.2">
      <c r="B1" s="147" t="s">
        <v>139</v>
      </c>
    </row>
    <row r="2" spans="1:110" s="49" customFormat="1" ht="20.100000000000001" customHeight="1" x14ac:dyDescent="0.2">
      <c r="A2" s="222"/>
      <c r="B2" s="203" t="s">
        <v>140</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222"/>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row>
    <row r="3" spans="1:110" s="51" customFormat="1" ht="20.100000000000001" customHeight="1" x14ac:dyDescent="0.2">
      <c r="A3" s="46"/>
      <c r="B3" s="205" t="s">
        <v>141</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46"/>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row>
    <row r="4" spans="1:110" s="51" customFormat="1" ht="20.100000000000001" customHeight="1" x14ac:dyDescent="0.2">
      <c r="A4" s="46"/>
      <c r="B4" s="434" t="s">
        <v>142</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46"/>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row>
    <row r="5" spans="1:110" s="53" customFormat="1" ht="30.95" customHeight="1" x14ac:dyDescent="0.2">
      <c r="A5" s="46"/>
      <c r="B5" s="423" t="s">
        <v>143</v>
      </c>
      <c r="C5" s="200"/>
      <c r="D5" s="200"/>
      <c r="E5" s="200"/>
      <c r="F5" s="200"/>
      <c r="G5" s="200"/>
      <c r="H5" s="200"/>
      <c r="I5" s="200"/>
      <c r="J5" s="200"/>
      <c r="K5" s="202"/>
      <c r="L5" s="202"/>
      <c r="M5" s="202"/>
      <c r="N5" s="202"/>
      <c r="O5" s="202"/>
      <c r="P5" s="202"/>
      <c r="Q5" s="202"/>
      <c r="R5" s="202"/>
      <c r="S5" s="202"/>
      <c r="T5" s="202"/>
      <c r="U5" s="202"/>
      <c r="V5" s="200"/>
      <c r="W5" s="200"/>
      <c r="X5" s="200"/>
      <c r="Y5" s="200"/>
      <c r="Z5" s="200"/>
      <c r="AA5" s="200"/>
      <c r="AB5" s="200"/>
      <c r="AC5" s="200"/>
      <c r="AD5" s="200"/>
      <c r="AE5" s="202"/>
      <c r="AF5" s="202"/>
      <c r="AG5" s="202"/>
      <c r="AH5" s="202"/>
      <c r="AI5" s="202"/>
      <c r="AJ5" s="202"/>
      <c r="AK5" s="202"/>
      <c r="AL5" s="202"/>
      <c r="AM5" s="202"/>
      <c r="AN5" s="202"/>
      <c r="AO5" s="202"/>
      <c r="AP5" s="202"/>
      <c r="AQ5" s="46"/>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row>
    <row r="6" spans="1:110" s="53" customFormat="1" ht="15.95" customHeight="1" x14ac:dyDescent="0.2">
      <c r="A6" s="46"/>
      <c r="B6" s="424" t="s">
        <v>144</v>
      </c>
      <c r="C6" s="200"/>
      <c r="D6" s="200"/>
      <c r="E6" s="200"/>
      <c r="F6" s="200"/>
      <c r="G6" s="200"/>
      <c r="H6" s="200"/>
      <c r="I6" s="200"/>
      <c r="J6" s="200"/>
      <c r="K6" s="202"/>
      <c r="L6" s="202"/>
      <c r="M6" s="202"/>
      <c r="N6" s="202"/>
      <c r="O6" s="202"/>
      <c r="P6" s="202"/>
      <c r="Q6" s="202"/>
      <c r="R6" s="202"/>
      <c r="S6" s="202"/>
      <c r="T6" s="202"/>
      <c r="U6" s="202"/>
      <c r="V6" s="200"/>
      <c r="W6" s="200"/>
      <c r="X6" s="200"/>
      <c r="Y6" s="200"/>
      <c r="Z6" s="200"/>
      <c r="AA6" s="200"/>
      <c r="AB6" s="200"/>
      <c r="AC6" s="200"/>
      <c r="AD6" s="200"/>
      <c r="AE6" s="202"/>
      <c r="AF6" s="202"/>
      <c r="AG6" s="202"/>
      <c r="AH6" s="202"/>
      <c r="AI6" s="202"/>
      <c r="AJ6" s="202"/>
      <c r="AK6" s="202"/>
      <c r="AL6" s="202"/>
      <c r="AM6" s="202"/>
      <c r="AN6" s="202"/>
      <c r="AO6" s="202"/>
      <c r="AP6" s="202"/>
      <c r="AQ6" s="46"/>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row>
    <row r="7" spans="1:110" s="53" customFormat="1" ht="33.6" customHeight="1" x14ac:dyDescent="0.2">
      <c r="A7" s="46"/>
      <c r="B7" s="423" t="s">
        <v>145</v>
      </c>
      <c r="C7" s="200"/>
      <c r="D7" s="200"/>
      <c r="E7" s="200"/>
      <c r="F7" s="200"/>
      <c r="G7" s="200"/>
      <c r="H7" s="200"/>
      <c r="I7" s="200"/>
      <c r="J7" s="200"/>
      <c r="K7" s="202"/>
      <c r="L7" s="202"/>
      <c r="M7" s="202"/>
      <c r="N7" s="202"/>
      <c r="O7" s="202"/>
      <c r="P7" s="202"/>
      <c r="Q7" s="202"/>
      <c r="R7" s="202"/>
      <c r="S7" s="202"/>
      <c r="T7" s="202"/>
      <c r="U7" s="202"/>
      <c r="V7" s="200"/>
      <c r="W7" s="200"/>
      <c r="X7" s="200"/>
      <c r="Y7" s="200"/>
      <c r="Z7" s="200"/>
      <c r="AA7" s="200"/>
      <c r="AB7" s="200"/>
      <c r="AC7" s="200"/>
      <c r="AD7" s="200"/>
      <c r="AE7" s="202"/>
      <c r="AF7" s="202"/>
      <c r="AG7" s="202"/>
      <c r="AH7" s="202"/>
      <c r="AI7" s="202"/>
      <c r="AJ7" s="202"/>
      <c r="AK7" s="202"/>
      <c r="AL7" s="202"/>
      <c r="AM7" s="202"/>
      <c r="AN7" s="202"/>
      <c r="AO7" s="202"/>
      <c r="AP7" s="202"/>
      <c r="AQ7" s="46"/>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row>
    <row r="8" spans="1:110" s="53" customFormat="1" ht="50.1" customHeight="1" x14ac:dyDescent="0.2">
      <c r="A8" s="46"/>
      <c r="B8" s="423" t="s">
        <v>146</v>
      </c>
      <c r="C8" s="200"/>
      <c r="D8" s="200"/>
      <c r="E8" s="200"/>
      <c r="F8" s="200"/>
      <c r="G8" s="200"/>
      <c r="H8" s="200"/>
      <c r="I8" s="200"/>
      <c r="J8" s="200"/>
      <c r="K8" s="202"/>
      <c r="L8" s="202"/>
      <c r="M8" s="202"/>
      <c r="N8" s="202"/>
      <c r="O8" s="202"/>
      <c r="P8" s="202"/>
      <c r="Q8" s="202"/>
      <c r="R8" s="202"/>
      <c r="S8" s="202"/>
      <c r="T8" s="202"/>
      <c r="U8" s="202"/>
      <c r="V8" s="200"/>
      <c r="W8" s="200"/>
      <c r="X8" s="200"/>
      <c r="Y8" s="200"/>
      <c r="Z8" s="200"/>
      <c r="AA8" s="200"/>
      <c r="AB8" s="200"/>
      <c r="AC8" s="200"/>
      <c r="AD8" s="200"/>
      <c r="AE8" s="202"/>
      <c r="AF8" s="202"/>
      <c r="AG8" s="202"/>
      <c r="AH8" s="202"/>
      <c r="AI8" s="202"/>
      <c r="AJ8" s="202"/>
      <c r="AK8" s="202"/>
      <c r="AL8" s="202"/>
      <c r="AM8" s="202"/>
      <c r="AN8" s="202"/>
      <c r="AO8" s="202"/>
      <c r="AP8" s="202"/>
      <c r="AQ8" s="46"/>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row>
    <row r="9" spans="1:110" s="53" customFormat="1" ht="16.5" hidden="1" customHeight="1" x14ac:dyDescent="0.2">
      <c r="A9" s="46"/>
      <c r="B9" s="201"/>
      <c r="C9" s="200"/>
      <c r="D9" s="200"/>
      <c r="E9" s="200"/>
      <c r="F9" s="200"/>
      <c r="G9" s="200"/>
      <c r="H9" s="200"/>
      <c r="I9" s="200"/>
      <c r="J9" s="200"/>
      <c r="K9" s="202"/>
      <c r="L9" s="202"/>
      <c r="M9" s="202"/>
      <c r="N9" s="202"/>
      <c r="O9" s="202"/>
      <c r="P9" s="202"/>
      <c r="Q9" s="202"/>
      <c r="R9" s="202"/>
      <c r="S9" s="202"/>
      <c r="T9" s="202"/>
      <c r="U9" s="202"/>
      <c r="V9" s="200"/>
      <c r="W9" s="200"/>
      <c r="X9" s="200"/>
      <c r="Y9" s="200"/>
      <c r="Z9" s="200"/>
      <c r="AA9" s="200"/>
      <c r="AB9" s="200"/>
      <c r="AC9" s="200"/>
      <c r="AD9" s="200"/>
      <c r="AE9" s="202"/>
      <c r="AF9" s="202"/>
      <c r="AG9" s="202"/>
      <c r="AH9" s="202"/>
      <c r="AI9" s="202"/>
      <c r="AJ9" s="202"/>
      <c r="AK9" s="202"/>
      <c r="AL9" s="202"/>
      <c r="AM9" s="202"/>
      <c r="AN9" s="202"/>
      <c r="AO9" s="202"/>
      <c r="AP9" s="202"/>
      <c r="AQ9" s="46"/>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row>
    <row r="10" spans="1:110" s="53" customFormat="1" ht="33" customHeight="1" x14ac:dyDescent="0.2">
      <c r="A10" s="46" t="s">
        <v>147</v>
      </c>
      <c r="B10" s="423" t="s">
        <v>148</v>
      </c>
      <c r="C10" s="200"/>
      <c r="D10" s="200"/>
      <c r="E10" s="200"/>
      <c r="F10" s="200"/>
      <c r="G10" s="200"/>
      <c r="H10" s="200"/>
      <c r="I10" s="200"/>
      <c r="J10" s="200"/>
      <c r="K10" s="202"/>
      <c r="L10" s="202"/>
      <c r="M10" s="202"/>
      <c r="N10" s="202"/>
      <c r="O10" s="202"/>
      <c r="P10" s="202"/>
      <c r="Q10" s="202"/>
      <c r="R10" s="202"/>
      <c r="S10" s="202"/>
      <c r="T10" s="202"/>
      <c r="U10" s="202"/>
      <c r="V10" s="200"/>
      <c r="W10" s="200"/>
      <c r="X10" s="200"/>
      <c r="Y10" s="200"/>
      <c r="Z10" s="200"/>
      <c r="AA10" s="200"/>
      <c r="AB10" s="200"/>
      <c r="AC10" s="200"/>
      <c r="AD10" s="200"/>
      <c r="AE10" s="202"/>
      <c r="AF10" s="202"/>
      <c r="AG10" s="202"/>
      <c r="AH10" s="202"/>
      <c r="AI10" s="202"/>
      <c r="AJ10" s="202"/>
      <c r="AK10" s="202"/>
      <c r="AL10" s="202"/>
      <c r="AM10" s="202"/>
      <c r="AN10" s="202"/>
      <c r="AO10" s="202"/>
      <c r="AP10" s="202"/>
      <c r="AQ10" s="46"/>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row>
    <row r="11" spans="1:110" s="53" customFormat="1" ht="16.5" customHeight="1" x14ac:dyDescent="0.2">
      <c r="A11" s="46"/>
      <c r="B11" s="201"/>
      <c r="C11" s="200"/>
      <c r="D11" s="200"/>
      <c r="E11" s="200"/>
      <c r="F11" s="200"/>
      <c r="G11" s="200"/>
      <c r="H11" s="200"/>
      <c r="I11" s="200"/>
      <c r="J11" s="200"/>
      <c r="K11" s="202"/>
      <c r="L11" s="202"/>
      <c r="M11" s="202"/>
      <c r="N11" s="202"/>
      <c r="O11" s="202"/>
      <c r="P11" s="202"/>
      <c r="Q11" s="202"/>
      <c r="R11" s="202"/>
      <c r="S11" s="202"/>
      <c r="T11" s="202"/>
      <c r="U11" s="202"/>
      <c r="V11" s="200"/>
      <c r="W11" s="200"/>
      <c r="X11" s="200"/>
      <c r="Y11" s="200"/>
      <c r="Z11" s="200"/>
      <c r="AA11" s="200"/>
      <c r="AB11" s="200"/>
      <c r="AC11" s="200"/>
      <c r="AD11" s="200"/>
      <c r="AE11" s="202"/>
      <c r="AF11" s="202"/>
      <c r="AG11" s="202"/>
      <c r="AH11" s="202"/>
      <c r="AI11" s="202"/>
      <c r="AJ11" s="202"/>
      <c r="AK11" s="202"/>
      <c r="AL11" s="202"/>
      <c r="AM11" s="202"/>
      <c r="AN11" s="202"/>
      <c r="AO11" s="202"/>
      <c r="AP11" s="202"/>
      <c r="AQ11" s="46"/>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row>
    <row r="12" spans="1:110" s="53" customFormat="1" ht="20.100000000000001" customHeight="1" x14ac:dyDescent="0.2">
      <c r="A12" s="46"/>
      <c r="B12" s="434" t="s">
        <v>149</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46"/>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row>
    <row r="13" spans="1:110" s="273" customFormat="1" ht="29.1" customHeight="1" x14ac:dyDescent="0.2">
      <c r="A13" s="271" t="s">
        <v>150</v>
      </c>
      <c r="B13" s="343" t="s">
        <v>151</v>
      </c>
      <c r="C13" s="270"/>
      <c r="D13" s="20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1"/>
      <c r="AR13" s="272"/>
      <c r="AS13" s="272"/>
      <c r="AT13" s="272"/>
      <c r="AU13" s="272"/>
      <c r="AV13" s="272"/>
      <c r="AW13" s="272"/>
      <c r="AX13" s="272"/>
      <c r="AY13" s="272"/>
      <c r="AZ13" s="272"/>
      <c r="BA13" s="272"/>
      <c r="BB13" s="272"/>
      <c r="BC13" s="272"/>
      <c r="BD13" s="272"/>
      <c r="BE13" s="272"/>
      <c r="BF13" s="272"/>
      <c r="BG13" s="272"/>
      <c r="BH13" s="272"/>
      <c r="BI13" s="272"/>
      <c r="BJ13" s="272"/>
      <c r="BK13" s="272"/>
      <c r="BL13" s="272"/>
      <c r="BM13" s="272"/>
      <c r="BN13" s="272"/>
      <c r="BO13" s="272"/>
      <c r="BP13" s="272"/>
      <c r="BQ13" s="272"/>
      <c r="BR13" s="272"/>
      <c r="BS13" s="272"/>
      <c r="BT13" s="272"/>
      <c r="BU13" s="272"/>
      <c r="BV13" s="272"/>
      <c r="BW13" s="272"/>
      <c r="BX13" s="272"/>
      <c r="BY13" s="272"/>
      <c r="BZ13" s="272"/>
      <c r="CA13" s="272"/>
      <c r="CB13" s="272"/>
      <c r="CC13" s="272"/>
      <c r="CD13" s="272"/>
      <c r="CE13" s="272"/>
      <c r="CF13" s="272"/>
      <c r="CG13" s="272"/>
      <c r="CH13" s="272"/>
      <c r="CI13" s="272"/>
      <c r="CJ13" s="272"/>
      <c r="CK13" s="272"/>
      <c r="CL13" s="272"/>
      <c r="CM13" s="272"/>
      <c r="CN13" s="272"/>
      <c r="CO13" s="272"/>
      <c r="CP13" s="272"/>
      <c r="CQ13" s="272"/>
      <c r="CR13" s="272"/>
      <c r="CS13" s="272"/>
      <c r="CT13" s="272"/>
      <c r="CU13" s="272"/>
      <c r="CV13" s="272"/>
      <c r="CW13" s="272"/>
      <c r="CX13" s="272"/>
      <c r="CY13" s="272"/>
      <c r="CZ13" s="272"/>
      <c r="DA13" s="272"/>
      <c r="DB13" s="272"/>
      <c r="DC13" s="272"/>
      <c r="DD13" s="272"/>
      <c r="DE13" s="272"/>
      <c r="DF13" s="272"/>
    </row>
    <row r="14" spans="1:110" s="273" customFormat="1" ht="18.75" customHeight="1" x14ac:dyDescent="0.2">
      <c r="A14" s="271" t="s">
        <v>152</v>
      </c>
      <c r="B14" s="425" t="s">
        <v>153</v>
      </c>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1"/>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72"/>
      <c r="BY14" s="272"/>
      <c r="BZ14" s="272"/>
      <c r="CA14" s="272"/>
      <c r="CB14" s="272"/>
      <c r="CC14" s="272"/>
      <c r="CD14" s="272"/>
      <c r="CE14" s="272"/>
      <c r="CF14" s="272"/>
      <c r="CG14" s="272"/>
      <c r="CH14" s="272"/>
      <c r="CI14" s="272"/>
      <c r="CJ14" s="272"/>
      <c r="CK14" s="272"/>
      <c r="CL14" s="272"/>
      <c r="CM14" s="272"/>
      <c r="CN14" s="272"/>
      <c r="CO14" s="272"/>
      <c r="CP14" s="272"/>
      <c r="CQ14" s="272"/>
      <c r="CR14" s="272"/>
      <c r="CS14" s="272"/>
      <c r="CT14" s="272"/>
      <c r="CU14" s="272"/>
      <c r="CV14" s="272"/>
      <c r="CW14" s="272"/>
      <c r="CX14" s="272"/>
      <c r="CY14" s="272"/>
      <c r="CZ14" s="272"/>
      <c r="DA14" s="272"/>
      <c r="DB14" s="272"/>
      <c r="DC14" s="272"/>
      <c r="DD14" s="272"/>
      <c r="DE14" s="272"/>
      <c r="DF14" s="272"/>
    </row>
    <row r="15" spans="1:110" s="273" customFormat="1" ht="20.100000000000001" customHeight="1" x14ac:dyDescent="0.2">
      <c r="A15" s="271"/>
      <c r="B15" s="427" t="s">
        <v>154</v>
      </c>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1"/>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c r="BR15" s="272"/>
      <c r="BS15" s="272"/>
      <c r="BT15" s="272"/>
      <c r="BU15" s="272"/>
      <c r="BV15" s="272"/>
      <c r="BW15" s="272"/>
      <c r="BX15" s="272"/>
      <c r="BY15" s="272"/>
      <c r="BZ15" s="272"/>
      <c r="CA15" s="272"/>
      <c r="CB15" s="272"/>
      <c r="CC15" s="272"/>
      <c r="CD15" s="272"/>
      <c r="CE15" s="272"/>
      <c r="CF15" s="272"/>
      <c r="CG15" s="272"/>
      <c r="CH15" s="272"/>
      <c r="CI15" s="272"/>
      <c r="CJ15" s="272"/>
      <c r="CK15" s="272"/>
      <c r="CL15" s="272"/>
      <c r="CM15" s="272"/>
      <c r="CN15" s="272"/>
      <c r="CO15" s="272"/>
      <c r="CP15" s="272"/>
      <c r="CQ15" s="272"/>
      <c r="CR15" s="272"/>
      <c r="CS15" s="272"/>
      <c r="CT15" s="272"/>
      <c r="CU15" s="272"/>
      <c r="CV15" s="272"/>
      <c r="CW15" s="272"/>
      <c r="CX15" s="272"/>
      <c r="CY15" s="272"/>
      <c r="CZ15" s="272"/>
      <c r="DA15" s="272"/>
      <c r="DB15" s="272"/>
      <c r="DC15" s="272"/>
      <c r="DD15" s="272"/>
      <c r="DE15" s="272"/>
      <c r="DF15" s="272"/>
    </row>
    <row r="16" spans="1:110" s="273" customFormat="1" ht="159" customHeight="1" x14ac:dyDescent="0.2">
      <c r="A16" s="271"/>
      <c r="B16" s="426" t="s">
        <v>155</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1"/>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row>
    <row r="17" spans="1:110" s="262" customFormat="1" ht="11.45" customHeight="1" x14ac:dyDescent="0.2">
      <c r="A17" s="259"/>
      <c r="B17" s="257"/>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59"/>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row>
    <row r="18" spans="1:110" s="262" customFormat="1" ht="13.5" customHeight="1" x14ac:dyDescent="0.2">
      <c r="A18" s="259"/>
      <c r="B18" s="202" t="s">
        <v>6</v>
      </c>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59"/>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A18" s="261"/>
      <c r="CB18" s="261"/>
      <c r="CC18" s="261"/>
      <c r="CD18" s="261"/>
      <c r="CE18" s="261"/>
      <c r="CF18" s="261"/>
      <c r="CG18" s="261"/>
      <c r="CH18" s="261"/>
      <c r="CI18" s="261"/>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row>
    <row r="19" spans="1:110" s="54" customFormat="1" ht="20.100000000000001" customHeight="1" x14ac:dyDescent="0.2">
      <c r="A19" s="46">
        <v>0</v>
      </c>
      <c r="B19" s="209" t="s">
        <v>156</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46"/>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row>
    <row r="20" spans="1:110" s="55" customFormat="1" ht="30.6" customHeight="1" x14ac:dyDescent="0.2">
      <c r="A20" s="46">
        <f>A19+1</f>
        <v>1</v>
      </c>
      <c r="B20" s="163" t="s">
        <v>23</v>
      </c>
      <c r="C20" s="415" t="s">
        <v>157</v>
      </c>
      <c r="D20" s="416" t="s">
        <v>158</v>
      </c>
      <c r="E20" s="416" t="s">
        <v>159</v>
      </c>
      <c r="F20" s="416" t="s">
        <v>160</v>
      </c>
      <c r="G20" s="475" t="s">
        <v>40</v>
      </c>
      <c r="H20" s="475"/>
      <c r="I20" s="475"/>
      <c r="J20" s="475" t="s">
        <v>25</v>
      </c>
      <c r="K20" s="475"/>
      <c r="L20" s="475"/>
      <c r="M20" s="475" t="s">
        <v>27</v>
      </c>
      <c r="N20" s="475"/>
      <c r="O20" s="475"/>
      <c r="P20" s="475" t="s">
        <v>29</v>
      </c>
      <c r="Q20" s="475"/>
      <c r="R20" s="475"/>
      <c r="S20" s="475" t="s">
        <v>30</v>
      </c>
      <c r="T20" s="475"/>
      <c r="U20" s="475"/>
      <c r="V20" s="475" t="s">
        <v>32</v>
      </c>
      <c r="W20" s="475"/>
      <c r="X20" s="475"/>
      <c r="Y20" s="475" t="s">
        <v>34</v>
      </c>
      <c r="Z20" s="475"/>
      <c r="AA20" s="475"/>
      <c r="AB20" s="475" t="s">
        <v>36</v>
      </c>
      <c r="AC20" s="475"/>
      <c r="AD20" s="475"/>
      <c r="AE20" s="475" t="s">
        <v>38</v>
      </c>
      <c r="AF20" s="475"/>
      <c r="AG20" s="475"/>
      <c r="AH20" s="475" t="s">
        <v>42</v>
      </c>
      <c r="AI20" s="475"/>
      <c r="AJ20" s="475"/>
      <c r="AK20" s="475" t="s">
        <v>44</v>
      </c>
      <c r="AL20" s="475"/>
      <c r="AM20" s="475"/>
      <c r="AN20" s="475" t="s">
        <v>46</v>
      </c>
      <c r="AO20" s="475"/>
      <c r="AP20" s="475"/>
      <c r="AQ20" s="46"/>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row>
    <row r="21" spans="1:110" s="56" customFormat="1" ht="5.0999999999999996" hidden="1" customHeight="1" x14ac:dyDescent="0.2">
      <c r="A21" s="46">
        <f t="shared" ref="A21:A54" si="0">A20+1</f>
        <v>2</v>
      </c>
      <c r="B21" s="163" t="s">
        <v>161</v>
      </c>
      <c r="C21" s="161" t="s">
        <v>162</v>
      </c>
      <c r="D21" s="160" t="s">
        <v>162</v>
      </c>
      <c r="E21" s="160" t="s">
        <v>162</v>
      </c>
      <c r="F21" s="160" t="s">
        <v>162</v>
      </c>
      <c r="G21" s="476" t="s">
        <v>163</v>
      </c>
      <c r="H21" s="476"/>
      <c r="I21" s="476"/>
      <c r="J21" s="476" t="s">
        <v>163</v>
      </c>
      <c r="K21" s="476"/>
      <c r="L21" s="476"/>
      <c r="M21" s="476" t="s">
        <v>163</v>
      </c>
      <c r="N21" s="476"/>
      <c r="O21" s="476"/>
      <c r="P21" s="476" t="s">
        <v>163</v>
      </c>
      <c r="Q21" s="476"/>
      <c r="R21" s="476"/>
      <c r="S21" s="476" t="s">
        <v>163</v>
      </c>
      <c r="T21" s="476"/>
      <c r="U21" s="476"/>
      <c r="V21" s="476" t="s">
        <v>163</v>
      </c>
      <c r="W21" s="476"/>
      <c r="X21" s="476"/>
      <c r="Y21" s="476" t="s">
        <v>163</v>
      </c>
      <c r="Z21" s="476"/>
      <c r="AA21" s="476"/>
      <c r="AB21" s="476" t="s">
        <v>164</v>
      </c>
      <c r="AC21" s="476"/>
      <c r="AD21" s="476"/>
      <c r="AE21" s="476" t="s">
        <v>163</v>
      </c>
      <c r="AF21" s="476"/>
      <c r="AG21" s="476"/>
      <c r="AH21" s="476" t="s">
        <v>163</v>
      </c>
      <c r="AI21" s="476"/>
      <c r="AJ21" s="476"/>
      <c r="AK21" s="476" t="s">
        <v>163</v>
      </c>
      <c r="AL21" s="476"/>
      <c r="AM21" s="476"/>
      <c r="AN21" s="476" t="s">
        <v>163</v>
      </c>
      <c r="AO21" s="476"/>
      <c r="AP21" s="476"/>
      <c r="AQ21" s="46"/>
      <c r="AR21" s="5"/>
      <c r="AS21" s="5"/>
      <c r="AT21" s="5"/>
      <c r="AU21" s="5"/>
      <c r="AV21" s="5"/>
    </row>
    <row r="22" spans="1:110" s="56" customFormat="1" ht="32.1" customHeight="1" x14ac:dyDescent="0.2">
      <c r="A22" s="46">
        <f t="shared" si="0"/>
        <v>3</v>
      </c>
      <c r="B22" s="443" t="s">
        <v>387</v>
      </c>
      <c r="C22" s="161">
        <v>2023</v>
      </c>
      <c r="D22" s="160">
        <v>2023</v>
      </c>
      <c r="E22" s="160">
        <v>2023</v>
      </c>
      <c r="F22" s="160">
        <v>2023</v>
      </c>
      <c r="G22" s="476">
        <v>2023</v>
      </c>
      <c r="H22" s="476"/>
      <c r="I22" s="476"/>
      <c r="J22" s="476">
        <v>2023</v>
      </c>
      <c r="K22" s="476"/>
      <c r="L22" s="476"/>
      <c r="M22" s="476">
        <v>2023</v>
      </c>
      <c r="N22" s="476"/>
      <c r="O22" s="476"/>
      <c r="P22" s="476">
        <v>2023</v>
      </c>
      <c r="Q22" s="476"/>
      <c r="R22" s="476"/>
      <c r="S22" s="476">
        <v>2023</v>
      </c>
      <c r="T22" s="476"/>
      <c r="U22" s="476"/>
      <c r="V22" s="476">
        <v>2023</v>
      </c>
      <c r="W22" s="476"/>
      <c r="X22" s="476"/>
      <c r="Y22" s="476">
        <v>2023</v>
      </c>
      <c r="Z22" s="476"/>
      <c r="AA22" s="476"/>
      <c r="AB22" s="476">
        <v>2022</v>
      </c>
      <c r="AC22" s="476"/>
      <c r="AD22" s="476"/>
      <c r="AE22" s="476">
        <v>2023</v>
      </c>
      <c r="AF22" s="476"/>
      <c r="AG22" s="476"/>
      <c r="AH22" s="476">
        <v>2023</v>
      </c>
      <c r="AI22" s="476"/>
      <c r="AJ22" s="476"/>
      <c r="AK22" s="476">
        <v>2023</v>
      </c>
      <c r="AL22" s="476"/>
      <c r="AM22" s="476"/>
      <c r="AN22" s="476">
        <v>2023</v>
      </c>
      <c r="AO22" s="476"/>
      <c r="AP22" s="476"/>
      <c r="AQ22" s="46"/>
      <c r="AR22" s="5"/>
      <c r="AS22" s="5"/>
      <c r="AT22" s="5"/>
      <c r="AU22" s="5"/>
      <c r="AV22" s="5"/>
    </row>
    <row r="23" spans="1:110" s="32" customFormat="1" ht="20.100000000000001" hidden="1" customHeight="1" x14ac:dyDescent="0.2">
      <c r="A23" s="32">
        <f t="shared" si="0"/>
        <v>4</v>
      </c>
      <c r="B23" s="162" t="s">
        <v>165</v>
      </c>
      <c r="C23" s="149"/>
      <c r="D23" s="149"/>
      <c r="E23" s="149"/>
      <c r="F23" s="149"/>
      <c r="G23" s="472" t="str">
        <f>IF(ISNA(INDEX(CPI_Hide!$C$4:$C$27,MATCH(G22,CPI_Hide!$D$4:$D$27,0))),INDEX(CPI_Hide!$C$4:$C$27,MATCH(MAX(CPI_Hide!$D$4:$D$27),CPI_Hide!$D$4:$D$27,0)),INDEX(CPI_Hide!$C$4:$C$27,MATCH(G22,CPI_Hide!$D$4:$D$27,0)))</f>
        <v>153.9</v>
      </c>
      <c r="H23" s="473"/>
      <c r="I23" s="474"/>
      <c r="J23" s="472" t="str">
        <f>IF(ISNA(INDEX(CPI_Hide!$C$4:$C$27,MATCH(J22,CPI_Hide!$D$4:$D$27,0))),INDEX(CPI_Hide!$C$4:$C$27,MATCH(MAX(CPI_Hide!$D$4:$D$27),CPI_Hide!$D$4:$D$27,0)),INDEX(CPI_Hide!$C$4:$C$27,MATCH(J22,CPI_Hide!$D$4:$D$27,0)))</f>
        <v>153.9</v>
      </c>
      <c r="K23" s="473"/>
      <c r="L23" s="474"/>
      <c r="M23" s="472" t="str">
        <f>IF(ISNA(INDEX(CPI_Hide!$C$4:$C$27,MATCH(M22,CPI_Hide!$D$4:$D$27,0))),INDEX(CPI_Hide!$C$4:$C$27,MATCH(MAX(CPI_Hide!$D$4:$D$27),CPI_Hide!$D$4:$D$27,0)),INDEX(CPI_Hide!$C$4:$C$27,MATCH(M22,CPI_Hide!$D$4:$D$27,0)))</f>
        <v>153.9</v>
      </c>
      <c r="N23" s="473"/>
      <c r="O23" s="474"/>
      <c r="P23" s="472" t="str">
        <f>IF(ISNA(INDEX(CPI_Hide!$C$4:$C$27,MATCH(P22,CPI_Hide!$D$4:$D$27,0))),INDEX(CPI_Hide!$C$4:$C$27,MATCH(MAX(CPI_Hide!$D$4:$D$27),CPI_Hide!$D$4:$D$27,0)),INDEX(CPI_Hide!$C$4:$C$27,MATCH(P22,CPI_Hide!$D$4:$D$27,0)))</f>
        <v>153.9</v>
      </c>
      <c r="Q23" s="473"/>
      <c r="R23" s="474"/>
      <c r="S23" s="472" t="str">
        <f>IF(ISNA(INDEX(CPI_Hide!$C$4:$C$27,MATCH(S22,CPI_Hide!$D$4:$D$27,0))),INDEX(CPI_Hide!$C$4:$C$27,MATCH(MAX(CPI_Hide!$D$4:$D$27),CPI_Hide!$D$4:$D$27,0)),INDEX(CPI_Hide!$C$4:$C$27,MATCH(S22,CPI_Hide!$D$4:$D$27,0)))</f>
        <v>153.9</v>
      </c>
      <c r="T23" s="473"/>
      <c r="U23" s="474"/>
      <c r="V23" s="472" t="str">
        <f>IF(ISNA(INDEX(CPI_Hide!$C$4:$C$27,MATCH(V22,CPI_Hide!$D$4:$D$27,0))),INDEX(CPI_Hide!$C$4:$C$27,MATCH(MAX(CPI_Hide!$D$4:$D$27),CPI_Hide!$D$4:$D$27,0)),INDEX(CPI_Hide!$C$4:$C$27,MATCH(V22,CPI_Hide!$D$4:$D$27,0)))</f>
        <v>153.9</v>
      </c>
      <c r="W23" s="473"/>
      <c r="X23" s="474"/>
      <c r="Y23" s="472" t="str">
        <f>IF(ISNA(INDEX(CPI_Hide!$C$4:$C$27,MATCH(Y22,CPI_Hide!$D$4:$D$27,0))),INDEX(CPI_Hide!$C$4:$C$27,MATCH(MAX(CPI_Hide!$D$4:$D$27),CPI_Hide!$D$4:$D$27,0)),INDEX(CPI_Hide!$C$4:$C$27,MATCH(Y22,CPI_Hide!$D$4:$D$27,0)))</f>
        <v>153.9</v>
      </c>
      <c r="Z23" s="473"/>
      <c r="AA23" s="474"/>
      <c r="AB23" s="472">
        <f>IF(ISNA(INDEX(CPI_Hide!$C$4:$C$27,MATCH(AB22,CPI_Hide!$D$4:$D$27,0))),INDEX(CPI_Hide!$C$4:$C$27,MATCH(MAX(CPI_Hide!$D$4:$D$27),CPI_Hide!$D$4:$D$27,0)),INDEX(CPI_Hide!$C$4:$C$27,MATCH(AB22,CPI_Hide!$D$4:$D$27,0)))</f>
        <v>145.30000000000001</v>
      </c>
      <c r="AC23" s="473"/>
      <c r="AD23" s="474"/>
      <c r="AE23" s="472" t="str">
        <f>IF(ISNA(INDEX(CPI_Hide!$C$4:$C$27,MATCH(AE22,CPI_Hide!$D$4:$D$27,0))),INDEX(CPI_Hide!$C$4:$C$27,MATCH(MAX(CPI_Hide!$D$4:$D$27),CPI_Hide!$D$4:$D$27,0)),INDEX(CPI_Hide!$C$4:$C$27,MATCH(AE22,CPI_Hide!$D$4:$D$27,0)))</f>
        <v>153.9</v>
      </c>
      <c r="AF23" s="473"/>
      <c r="AG23" s="474"/>
      <c r="AH23" s="472" t="str">
        <f>IF(ISNA(INDEX(CPI_Hide!$C$4:$C$27,MATCH(AH22,CPI_Hide!$D$4:$D$27,0))),INDEX(CPI_Hide!$C$4:$C$27,MATCH(MAX(CPI_Hide!$D$4:$D$27),CPI_Hide!$D$4:$D$27,0)),INDEX(CPI_Hide!$C$4:$C$27,MATCH(AH22,CPI_Hide!$D$4:$D$27,0)))</f>
        <v>153.9</v>
      </c>
      <c r="AI23" s="473"/>
      <c r="AJ23" s="474"/>
      <c r="AK23" s="472" t="str">
        <f>IF(ISNA(INDEX(CPI_Hide!$C$4:$C$27,MATCH(AK22,CPI_Hide!$D$4:$D$27,0))),INDEX(CPI_Hide!$C$4:$C$27,MATCH(MAX(CPI_Hide!$D$4:$D$27),CPI_Hide!$D$4:$D$27,0)),INDEX(CPI_Hide!$C$4:$C$27,MATCH(AK22,CPI_Hide!$D$4:$D$27,0)))</f>
        <v>153.9</v>
      </c>
      <c r="AL23" s="473"/>
      <c r="AM23" s="474"/>
      <c r="AN23" s="472" t="str">
        <f>IF(ISNA(INDEX(CPI_Hide!$C$4:$C$27,MATCH(AN22,CPI_Hide!$D$4:$D$27,0))),INDEX(CPI_Hide!$C$4:$C$27,MATCH(MAX(CPI_Hide!$D$4:$D$27),CPI_Hide!$D$4:$D$27,0)),INDEX(CPI_Hide!$C$4:$C$27,MATCH(AN22,CPI_Hide!$D$4:$D$27,0)))</f>
        <v>153.9</v>
      </c>
      <c r="AO23" s="473"/>
      <c r="AP23" s="474"/>
    </row>
    <row r="24" spans="1:110" s="213" customFormat="1" ht="20.100000000000001" customHeight="1" x14ac:dyDescent="0.2">
      <c r="A24" s="210">
        <f t="shared" si="0"/>
        <v>5</v>
      </c>
      <c r="B24" s="209" t="s">
        <v>166</v>
      </c>
      <c r="C24" s="211" t="s">
        <v>167</v>
      </c>
      <c r="D24" s="211" t="s">
        <v>167</v>
      </c>
      <c r="E24" s="211" t="s">
        <v>167</v>
      </c>
      <c r="F24" s="211" t="s">
        <v>167</v>
      </c>
      <c r="G24" s="211" t="s">
        <v>168</v>
      </c>
      <c r="H24" s="211" t="s">
        <v>169</v>
      </c>
      <c r="I24" s="211" t="s">
        <v>167</v>
      </c>
      <c r="J24" s="211" t="s">
        <v>168</v>
      </c>
      <c r="K24" s="211" t="s">
        <v>169</v>
      </c>
      <c r="L24" s="211" t="s">
        <v>167</v>
      </c>
      <c r="M24" s="211" t="s">
        <v>168</v>
      </c>
      <c r="N24" s="211" t="s">
        <v>169</v>
      </c>
      <c r="O24" s="211" t="s">
        <v>167</v>
      </c>
      <c r="P24" s="211" t="s">
        <v>168</v>
      </c>
      <c r="Q24" s="211" t="s">
        <v>169</v>
      </c>
      <c r="R24" s="211" t="s">
        <v>167</v>
      </c>
      <c r="S24" s="211" t="s">
        <v>168</v>
      </c>
      <c r="T24" s="211" t="s">
        <v>169</v>
      </c>
      <c r="U24" s="211" t="s">
        <v>167</v>
      </c>
      <c r="V24" s="211" t="s">
        <v>168</v>
      </c>
      <c r="W24" s="211" t="s">
        <v>169</v>
      </c>
      <c r="X24" s="211" t="s">
        <v>167</v>
      </c>
      <c r="Y24" s="211" t="s">
        <v>168</v>
      </c>
      <c r="Z24" s="211" t="s">
        <v>169</v>
      </c>
      <c r="AA24" s="211" t="s">
        <v>167</v>
      </c>
      <c r="AB24" s="211" t="s">
        <v>168</v>
      </c>
      <c r="AC24" s="211" t="s">
        <v>169</v>
      </c>
      <c r="AD24" s="211" t="s">
        <v>167</v>
      </c>
      <c r="AE24" s="211" t="s">
        <v>168</v>
      </c>
      <c r="AF24" s="211" t="s">
        <v>169</v>
      </c>
      <c r="AG24" s="211" t="s">
        <v>167</v>
      </c>
      <c r="AH24" s="211" t="s">
        <v>168</v>
      </c>
      <c r="AI24" s="211" t="s">
        <v>169</v>
      </c>
      <c r="AJ24" s="211" t="s">
        <v>167</v>
      </c>
      <c r="AK24" s="211" t="s">
        <v>168</v>
      </c>
      <c r="AL24" s="211" t="s">
        <v>169</v>
      </c>
      <c r="AM24" s="211" t="s">
        <v>167</v>
      </c>
      <c r="AN24" s="211" t="s">
        <v>168</v>
      </c>
      <c r="AO24" s="211" t="s">
        <v>169</v>
      </c>
      <c r="AP24" s="211" t="s">
        <v>167</v>
      </c>
      <c r="AQ24" s="210"/>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row>
    <row r="25" spans="1:110" s="400" customFormat="1" ht="20.100000000000001" customHeight="1" x14ac:dyDescent="0.2">
      <c r="A25" s="46">
        <f t="shared" si="0"/>
        <v>6</v>
      </c>
      <c r="B25" s="117" t="s">
        <v>170</v>
      </c>
      <c r="C25" s="402"/>
      <c r="D25" s="402"/>
      <c r="E25" s="402"/>
      <c r="F25" s="402"/>
      <c r="G25" s="58">
        <f>IF(ISBLANK(I25),H25,I25)</f>
        <v>320</v>
      </c>
      <c r="H25" s="59">
        <v>320</v>
      </c>
      <c r="I25" s="402"/>
      <c r="J25" s="58">
        <f>IF(ISBLANK(L25),K25,L25)</f>
        <v>1.84</v>
      </c>
      <c r="K25" s="59">
        <f>1.84</f>
        <v>1.84</v>
      </c>
      <c r="L25" s="402"/>
      <c r="M25" s="58">
        <f>IF(ISBLANK(O25),N25,O25)</f>
        <v>0.3</v>
      </c>
      <c r="N25" s="59">
        <v>0.3</v>
      </c>
      <c r="O25" s="401"/>
      <c r="P25" s="58">
        <f>IF(ISBLANK(R25),Q25,R25)</f>
        <v>37</v>
      </c>
      <c r="Q25" s="59">
        <v>37</v>
      </c>
      <c r="R25" s="402"/>
      <c r="S25" s="58">
        <f>IF(ISBLANK(U25),T25,U25)</f>
        <v>3.17</v>
      </c>
      <c r="T25" s="59">
        <f>3.17</f>
        <v>3.17</v>
      </c>
      <c r="U25" s="402"/>
      <c r="V25" s="58">
        <f>IF(ISBLANK(X25),W25,X25)</f>
        <v>0.9</v>
      </c>
      <c r="W25" s="59">
        <v>0.9</v>
      </c>
      <c r="X25" s="402"/>
      <c r="Y25" s="58">
        <f>IF(ISBLANK(AA25),Z25,AA25)</f>
        <v>3.5</v>
      </c>
      <c r="Z25" s="59">
        <v>3.5</v>
      </c>
      <c r="AA25" s="402"/>
      <c r="AB25" s="58">
        <f>IF(ISBLANK(AD25),AC25,AD25)</f>
        <v>1400</v>
      </c>
      <c r="AC25" s="59">
        <v>1400</v>
      </c>
      <c r="AD25" s="402"/>
      <c r="AE25" s="58">
        <f>IF(ISBLANK(AG25),AF25,AG25)</f>
        <v>1.1399999999999999</v>
      </c>
      <c r="AF25" s="59">
        <v>1.1399999999999999</v>
      </c>
      <c r="AG25" s="402"/>
      <c r="AH25" s="58">
        <f>IF(ISBLANK(AJ25),AI25,AJ25)</f>
        <v>1.47</v>
      </c>
      <c r="AI25" s="59">
        <f>1.47</f>
        <v>1.47</v>
      </c>
      <c r="AJ25" s="402"/>
      <c r="AK25" s="58">
        <f>IF(ISBLANK(AM25),AL25,AM25)</f>
        <v>1.51</v>
      </c>
      <c r="AL25" s="59">
        <v>1.51</v>
      </c>
      <c r="AM25" s="402"/>
      <c r="AN25" s="58">
        <f>IF(ISBLANK(AP25),AO25,AP25)</f>
        <v>2.31</v>
      </c>
      <c r="AO25" s="59">
        <v>2.31</v>
      </c>
      <c r="AP25" s="402"/>
      <c r="AQ25" s="46"/>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row>
    <row r="26" spans="1:110" ht="20.100000000000001" customHeight="1" x14ac:dyDescent="0.2">
      <c r="A26" s="46">
        <f t="shared" si="0"/>
        <v>7</v>
      </c>
      <c r="B26" s="117" t="s">
        <v>171</v>
      </c>
      <c r="C26" s="57"/>
      <c r="D26" s="57"/>
      <c r="E26" s="57"/>
      <c r="F26" s="57"/>
      <c r="G26" s="60">
        <f>IF(ISBLANK(I26),H26,I26)</f>
        <v>17.87</v>
      </c>
      <c r="H26" s="61">
        <f>17.87*'Tableau de bord'!$H$4/$G$23</f>
        <v>17.87</v>
      </c>
      <c r="I26" s="62"/>
      <c r="J26" s="60">
        <f>IF(ISBLANK(L26),K26,L26)</f>
        <v>340</v>
      </c>
      <c r="K26" s="61">
        <f>340*'Tableau de bord'!$H$4/$J$23</f>
        <v>340</v>
      </c>
      <c r="L26" s="57"/>
      <c r="M26" s="60">
        <f>IF(ISBLANK(O26),N26,O26)</f>
        <v>571.29999999999995</v>
      </c>
      <c r="N26" s="61">
        <f>571.3*'Tableau de bord'!$H$4/$M$23</f>
        <v>571.29999999999995</v>
      </c>
      <c r="O26" s="63"/>
      <c r="P26" s="60">
        <f>IF(ISBLANK(R26),Q26,R26)</f>
        <v>17</v>
      </c>
      <c r="Q26" s="61">
        <f>17*'Tableau de bord'!$H$4/$P$23</f>
        <v>17</v>
      </c>
      <c r="R26" s="57"/>
      <c r="S26" s="60">
        <f>IF(ISBLANK(U26),T26,U26)</f>
        <v>365.5</v>
      </c>
      <c r="T26" s="61">
        <f>365.5*'Tableau de bord'!$H$4/$S$23</f>
        <v>365.5</v>
      </c>
      <c r="U26" s="57"/>
      <c r="V26" s="60">
        <f>IF(ISBLANK(X26),W26,X26)</f>
        <v>120</v>
      </c>
      <c r="W26" s="61">
        <f>120*'Tableau de bord'!$H$4/$V$23</f>
        <v>120</v>
      </c>
      <c r="X26" s="62"/>
      <c r="Y26" s="60">
        <f>IF(ISBLANK(AA26),Z26,AA26)</f>
        <v>120</v>
      </c>
      <c r="Z26" s="61">
        <f>120*'Tableau de bord'!$H$4/$V$23</f>
        <v>120</v>
      </c>
      <c r="AA26" s="62"/>
      <c r="AB26" s="60">
        <f>IF(ISBLANK(AD26),AC26,AD26)</f>
        <v>0.22000000000000003</v>
      </c>
      <c r="AC26" s="61">
        <f>0.22*'Tableau de bord'!$H$4/$G$23</f>
        <v>0.22000000000000003</v>
      </c>
      <c r="AD26" s="62"/>
      <c r="AE26" s="60">
        <f>IF(ISBLANK(AG26),AF26,AG26)</f>
        <v>315</v>
      </c>
      <c r="AF26" s="61">
        <f>315*'Tableau de bord'!$H$4/$AE$23</f>
        <v>315</v>
      </c>
      <c r="AG26" s="57"/>
      <c r="AH26" s="60">
        <f>IF(ISBLANK(AJ26),AI26,AJ26)</f>
        <v>539.75</v>
      </c>
      <c r="AI26" s="61">
        <f>(539.75)*'Tableau de bord'!$H$4/$AH$23</f>
        <v>539.75</v>
      </c>
      <c r="AJ26" s="57"/>
      <c r="AK26" s="60">
        <f>IF(ISBLANK(AM26),AL26,AM26)</f>
        <v>390</v>
      </c>
      <c r="AL26" s="61">
        <f>(390)*'Tableau de bord'!$H$4/$AK$23</f>
        <v>390</v>
      </c>
      <c r="AM26" s="57"/>
      <c r="AN26" s="60">
        <f>IF(ISBLANK(AP26),AO26,AP26)</f>
        <v>355</v>
      </c>
      <c r="AO26" s="61">
        <f>355*'Tableau de bord'!$H$4/$AN$23</f>
        <v>355</v>
      </c>
      <c r="AP26" s="57"/>
    </row>
    <row r="27" spans="1:110" ht="20.100000000000001" customHeight="1" x14ac:dyDescent="0.2">
      <c r="A27" s="46">
        <f t="shared" si="0"/>
        <v>8</v>
      </c>
      <c r="B27" s="117" t="s">
        <v>172</v>
      </c>
      <c r="C27" s="57"/>
      <c r="D27" s="57"/>
      <c r="E27" s="57"/>
      <c r="F27" s="57"/>
      <c r="G27" s="60">
        <f>IF(ISBLANK(I27),H27,I27)</f>
        <v>0</v>
      </c>
      <c r="H27" s="61">
        <f>0*'Tableau de bord'!$H$4/$G$23</f>
        <v>0</v>
      </c>
      <c r="I27" s="62"/>
      <c r="J27" s="60">
        <f>IF(ISBLANK(L27),K27,L27)</f>
        <v>0</v>
      </c>
      <c r="K27" s="61">
        <f>0*'Tableau de bord'!$H$4/$J$23</f>
        <v>0</v>
      </c>
      <c r="L27" s="57"/>
      <c r="M27" s="60">
        <f>IF(ISBLANK(O27),N27,O27)</f>
        <v>0</v>
      </c>
      <c r="N27" s="61">
        <f>0*'Tableau de bord'!$H$4/$M$23</f>
        <v>0</v>
      </c>
      <c r="O27" s="63"/>
      <c r="P27" s="60">
        <f>IF(ISBLANK(R27),Q27,R27)</f>
        <v>0</v>
      </c>
      <c r="Q27" s="61">
        <f>0*'Tableau de bord'!$H$4/$P$23</f>
        <v>0</v>
      </c>
      <c r="R27" s="57"/>
      <c r="S27" s="60">
        <f>IF(ISBLANK(U27),T27,U27)</f>
        <v>0</v>
      </c>
      <c r="T27" s="61">
        <f>0*'Tableau de bord'!$H$4/$S$23</f>
        <v>0</v>
      </c>
      <c r="U27" s="57"/>
      <c r="V27" s="60">
        <f>IF(ISBLANK(X27),W27,X27)</f>
        <v>0</v>
      </c>
      <c r="W27" s="61">
        <f>0*'Tableau de bord'!$H$4/$V$23</f>
        <v>0</v>
      </c>
      <c r="X27" s="62"/>
      <c r="Y27" s="60">
        <f>IF(ISBLANK(AA27),Z27,AA27)</f>
        <v>0</v>
      </c>
      <c r="Z27" s="61">
        <f>0*'Tableau de bord'!$H$4/$V$23</f>
        <v>0</v>
      </c>
      <c r="AA27" s="62"/>
      <c r="AB27" s="60">
        <f>IF(ISBLANK(AD27),AC27,AD27)</f>
        <v>0</v>
      </c>
      <c r="AC27" s="61">
        <f>0*'Tableau de bord'!$H$4/$G$23</f>
        <v>0</v>
      </c>
      <c r="AD27" s="62"/>
      <c r="AE27" s="60">
        <f>IF(ISBLANK(AG27),AF27,AG27)</f>
        <v>0</v>
      </c>
      <c r="AF27" s="61">
        <f>0*'Tableau de bord'!$H$4/$AE$23</f>
        <v>0</v>
      </c>
      <c r="AG27" s="57"/>
      <c r="AH27" s="60">
        <f>IF(ISBLANK(AJ27),AI27,AJ27)</f>
        <v>0</v>
      </c>
      <c r="AI27" s="61">
        <f>0*'Tableau de bord'!$H$4/$AH$23</f>
        <v>0</v>
      </c>
      <c r="AJ27" s="57"/>
      <c r="AK27" s="60">
        <f>IF(ISBLANK(AM27),AL27,AM27)</f>
        <v>0</v>
      </c>
      <c r="AL27" s="61">
        <f>0*'Tableau de bord'!$H$4/$AK$23</f>
        <v>0</v>
      </c>
      <c r="AM27" s="57"/>
      <c r="AN27" s="60">
        <f>IF(ISBLANK(AP27),AO27,AP27)</f>
        <v>0</v>
      </c>
      <c r="AO27" s="61">
        <f>0*'Tableau de bord'!$H$4/$AN$23</f>
        <v>0</v>
      </c>
      <c r="AP27" s="57"/>
    </row>
    <row r="28" spans="1:110" s="65" customFormat="1" ht="20.100000000000001" customHeight="1" x14ac:dyDescent="0.2">
      <c r="A28" s="46">
        <f t="shared" si="0"/>
        <v>9</v>
      </c>
      <c r="B28" s="444" t="s">
        <v>388</v>
      </c>
      <c r="C28" s="342" t="s">
        <v>88</v>
      </c>
      <c r="D28" s="342" t="s">
        <v>88</v>
      </c>
      <c r="E28" s="342" t="s">
        <v>88</v>
      </c>
      <c r="F28" s="342" t="s">
        <v>88</v>
      </c>
      <c r="H28" s="342" t="s">
        <v>173</v>
      </c>
      <c r="I28" s="342"/>
      <c r="K28" s="342" t="s">
        <v>174</v>
      </c>
      <c r="L28" s="342"/>
      <c r="M28" s="342"/>
      <c r="N28" s="342" t="s">
        <v>174</v>
      </c>
      <c r="O28" s="342"/>
      <c r="Q28" s="342" t="s">
        <v>175</v>
      </c>
      <c r="R28" s="342"/>
      <c r="T28" s="342" t="s">
        <v>176</v>
      </c>
      <c r="U28" s="342"/>
      <c r="W28" s="342" t="s">
        <v>174</v>
      </c>
      <c r="X28" s="342"/>
      <c r="Z28" s="342" t="s">
        <v>174</v>
      </c>
      <c r="AA28" s="342"/>
      <c r="AC28" s="342" t="s">
        <v>177</v>
      </c>
      <c r="AD28" s="342"/>
      <c r="AF28" s="342" t="s">
        <v>174</v>
      </c>
      <c r="AG28" s="342"/>
      <c r="AI28" s="342" t="s">
        <v>178</v>
      </c>
      <c r="AJ28" s="342"/>
      <c r="AL28" s="342" t="s">
        <v>174</v>
      </c>
      <c r="AM28" s="342"/>
      <c r="AO28" s="342" t="s">
        <v>174</v>
      </c>
      <c r="AP28" s="342"/>
      <c r="AQ28" s="46"/>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row>
    <row r="29" spans="1:110" s="68" customFormat="1" ht="20.100000000000001" customHeight="1" x14ac:dyDescent="0.2">
      <c r="A29" s="46">
        <f t="shared" si="0"/>
        <v>10</v>
      </c>
      <c r="B29" s="120" t="s">
        <v>179</v>
      </c>
      <c r="C29" s="66">
        <f>PRODUCT(C25,SUM(C26:C27))</f>
        <v>0</v>
      </c>
      <c r="D29" s="66">
        <f t="shared" ref="D29:F29" si="1">PRODUCT(D25,SUM(D26:D27))</f>
        <v>0</v>
      </c>
      <c r="E29" s="66">
        <f t="shared" si="1"/>
        <v>0</v>
      </c>
      <c r="F29" s="66">
        <f t="shared" si="1"/>
        <v>0</v>
      </c>
      <c r="G29" s="67">
        <f>PRODUCT(G25,SUM(G26:G27))</f>
        <v>5718.4000000000005</v>
      </c>
      <c r="H29" s="67"/>
      <c r="I29" s="67"/>
      <c r="J29" s="67">
        <f t="shared" ref="J29" si="2">PRODUCT(J25,SUM(J26:J27))</f>
        <v>625.6</v>
      </c>
      <c r="K29" s="67"/>
      <c r="L29" s="67"/>
      <c r="M29" s="67">
        <f t="shared" ref="M29" si="3">PRODUCT(M25,SUM(M26:M27))</f>
        <v>171.39</v>
      </c>
      <c r="N29" s="67"/>
      <c r="O29" s="67"/>
      <c r="P29" s="67">
        <f t="shared" ref="P29" si="4">PRODUCT(P25,SUM(P26:P27))</f>
        <v>629</v>
      </c>
      <c r="Q29" s="67"/>
      <c r="R29" s="67"/>
      <c r="S29" s="67">
        <f t="shared" ref="S29" si="5">PRODUCT(S25,SUM(S26:S27))</f>
        <v>1158.635</v>
      </c>
      <c r="T29" s="67"/>
      <c r="U29" s="67"/>
      <c r="V29" s="67">
        <f t="shared" ref="V29" si="6">PRODUCT(V25,SUM(V26:V27))</f>
        <v>108</v>
      </c>
      <c r="W29" s="67"/>
      <c r="X29" s="67"/>
      <c r="Y29" s="67">
        <f t="shared" ref="Y29" si="7">PRODUCT(Y25,SUM(Y26:Y27))</f>
        <v>420</v>
      </c>
      <c r="Z29" s="67"/>
      <c r="AA29" s="67"/>
      <c r="AB29" s="67">
        <f>PRODUCT(AB25,SUM(AB26:AB27))</f>
        <v>308.00000000000006</v>
      </c>
      <c r="AC29" s="67"/>
      <c r="AD29" s="67"/>
      <c r="AE29" s="67">
        <f t="shared" ref="AE29" si="8">PRODUCT(AE25,SUM(AE26:AE27))</f>
        <v>359.09999999999997</v>
      </c>
      <c r="AF29" s="67"/>
      <c r="AG29" s="67"/>
      <c r="AH29" s="67">
        <f t="shared" ref="AH29" si="9">PRODUCT(AH25,SUM(AH26:AH27))</f>
        <v>793.4325</v>
      </c>
      <c r="AI29" s="67"/>
      <c r="AJ29" s="67"/>
      <c r="AK29" s="67">
        <f t="shared" ref="AK29" si="10">PRODUCT(AK25,SUM(AK26:AK27))</f>
        <v>588.9</v>
      </c>
      <c r="AL29" s="67"/>
      <c r="AM29" s="67"/>
      <c r="AN29" s="67">
        <f t="shared" ref="AN29" si="11">PRODUCT(AN25,SUM(AN26:AN27))</f>
        <v>820.05000000000007</v>
      </c>
      <c r="AO29" s="67"/>
      <c r="AP29" s="67"/>
      <c r="AQ29" s="46"/>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row>
    <row r="30" spans="1:110" ht="20.100000000000001" customHeight="1" x14ac:dyDescent="0.2">
      <c r="A30" s="46">
        <f t="shared" si="0"/>
        <v>11</v>
      </c>
      <c r="B30" s="117" t="s">
        <v>180</v>
      </c>
      <c r="C30" s="57"/>
      <c r="D30" s="57"/>
      <c r="E30" s="57"/>
      <c r="F30" s="57"/>
      <c r="G30" s="60">
        <f>IF(ISBLANK(I30),H30,I30)</f>
        <v>0</v>
      </c>
      <c r="H30" s="61">
        <f>0*'Tableau de bord'!$H$4/$G$23</f>
        <v>0</v>
      </c>
      <c r="I30" s="57"/>
      <c r="J30" s="60">
        <f>IF(ISBLANK(L30),K30,L30)</f>
        <v>0</v>
      </c>
      <c r="K30" s="61">
        <f>0*'Tableau de bord'!$H$4/$J$23</f>
        <v>0</v>
      </c>
      <c r="L30" s="57"/>
      <c r="M30" s="60">
        <f>IF(ISBLANK(O30),N30,O30)</f>
        <v>0</v>
      </c>
      <c r="N30" s="61">
        <f>0*'Tableau de bord'!$H$4/$M$23</f>
        <v>0</v>
      </c>
      <c r="O30" s="63"/>
      <c r="P30" s="60">
        <f>IF(ISBLANK(R30),Q30,R30)</f>
        <v>0</v>
      </c>
      <c r="Q30" s="61">
        <f>0*'Tableau de bord'!$H$4/$P$23</f>
        <v>0</v>
      </c>
      <c r="R30" s="57"/>
      <c r="S30" s="60">
        <f>IF(ISBLANK(U30),T30,U30)</f>
        <v>0</v>
      </c>
      <c r="T30" s="61">
        <f>0*'Tableau de bord'!$H$4/$S$23</f>
        <v>0</v>
      </c>
      <c r="U30" s="57"/>
      <c r="V30" s="60">
        <f>IF(ISBLANK(X30),W30,X30)</f>
        <v>0</v>
      </c>
      <c r="W30" s="61">
        <f>(0)*'Tableau de bord'!$H$4/$V$23</f>
        <v>0</v>
      </c>
      <c r="X30" s="57"/>
      <c r="Y30" s="60">
        <f>IF(ISBLANK(AA30),Z30,AA30)</f>
        <v>0</v>
      </c>
      <c r="Z30" s="61">
        <f>(0)*'Tableau de bord'!$H$4/$V$23</f>
        <v>0</v>
      </c>
      <c r="AA30" s="57"/>
      <c r="AB30" s="60">
        <f>IF(ISBLANK(AD30),AC30,AD30)</f>
        <v>0</v>
      </c>
      <c r="AC30" s="61">
        <f>0*'Tableau de bord'!$H$4/$G$23</f>
        <v>0</v>
      </c>
      <c r="AD30" s="57"/>
      <c r="AE30" s="60">
        <f>IF(ISBLANK(AG30),AF30,AG30)</f>
        <v>0</v>
      </c>
      <c r="AF30" s="61">
        <f>0*'Tableau de bord'!$H$4/$AE$23</f>
        <v>0</v>
      </c>
      <c r="AG30" s="57"/>
      <c r="AH30" s="60">
        <f>IF(ISBLANK(AJ30),AI30,AJ30)</f>
        <v>0</v>
      </c>
      <c r="AI30" s="61">
        <f>0*'Tableau de bord'!$H$4/$AH$23</f>
        <v>0</v>
      </c>
      <c r="AJ30" s="57"/>
      <c r="AK30" s="60">
        <f>IF(ISBLANK(AM30),AL30,AM30)</f>
        <v>0</v>
      </c>
      <c r="AL30" s="61">
        <f>0*'Tableau de bord'!$H$4/$AK$23</f>
        <v>0</v>
      </c>
      <c r="AM30" s="57"/>
      <c r="AN30" s="60">
        <f>IF(ISBLANK(AP30),AO30,AP30)</f>
        <v>0</v>
      </c>
      <c r="AO30" s="61">
        <f>0*'Tableau de bord'!$H$4/$AN$23</f>
        <v>0</v>
      </c>
      <c r="AP30" s="57"/>
    </row>
    <row r="31" spans="1:110" s="70" customFormat="1" ht="20.100000000000001" customHeight="1" x14ac:dyDescent="0.2">
      <c r="A31" s="46">
        <f t="shared" si="0"/>
        <v>12</v>
      </c>
      <c r="B31" s="118" t="s">
        <v>181</v>
      </c>
      <c r="C31" s="69">
        <f>SUM(C29:C30)</f>
        <v>0</v>
      </c>
      <c r="D31" s="69">
        <f t="shared" ref="D31:F31" si="12">SUM(D29:D30)</f>
        <v>0</v>
      </c>
      <c r="E31" s="69">
        <f t="shared" si="12"/>
        <v>0</v>
      </c>
      <c r="F31" s="69">
        <f t="shared" si="12"/>
        <v>0</v>
      </c>
      <c r="G31" s="69">
        <f>SUM(G29,G30)</f>
        <v>5718.4000000000005</v>
      </c>
      <c r="H31" s="69"/>
      <c r="I31" s="69"/>
      <c r="J31" s="69">
        <f t="shared" ref="J31" si="13">SUM(J29,J30)</f>
        <v>625.6</v>
      </c>
      <c r="K31" s="69"/>
      <c r="L31" s="69"/>
      <c r="M31" s="69">
        <f t="shared" ref="M31" si="14">SUM(M29,M30)</f>
        <v>171.39</v>
      </c>
      <c r="N31" s="69"/>
      <c r="O31" s="69"/>
      <c r="P31" s="69">
        <f t="shared" ref="P31" si="15">SUM(P29,P30)</f>
        <v>629</v>
      </c>
      <c r="Q31" s="69"/>
      <c r="R31" s="69"/>
      <c r="S31" s="69">
        <f t="shared" ref="S31" si="16">SUM(S29,S30)</f>
        <v>1158.635</v>
      </c>
      <c r="T31" s="69"/>
      <c r="U31" s="69"/>
      <c r="V31" s="69">
        <f t="shared" ref="V31" si="17">SUM(V29,V30)</f>
        <v>108</v>
      </c>
      <c r="W31" s="69"/>
      <c r="X31" s="69"/>
      <c r="Y31" s="69">
        <f t="shared" ref="Y31" si="18">SUM(Y29,Y30)</f>
        <v>420</v>
      </c>
      <c r="Z31" s="69"/>
      <c r="AA31" s="69"/>
      <c r="AB31" s="69">
        <f>SUM(AB29,AB30)</f>
        <v>308.00000000000006</v>
      </c>
      <c r="AC31" s="69"/>
      <c r="AD31" s="69"/>
      <c r="AE31" s="69">
        <f t="shared" ref="AE31" si="19">SUM(AE29,AE30)</f>
        <v>359.09999999999997</v>
      </c>
      <c r="AF31" s="69"/>
      <c r="AG31" s="69"/>
      <c r="AH31" s="69">
        <f t="shared" ref="AH31" si="20">SUM(AH29,AH30)</f>
        <v>793.4325</v>
      </c>
      <c r="AI31" s="69"/>
      <c r="AJ31" s="69"/>
      <c r="AK31" s="69">
        <f t="shared" ref="AK31" si="21">SUM(AK29,AK30)</f>
        <v>588.9</v>
      </c>
      <c r="AL31" s="69"/>
      <c r="AM31" s="69"/>
      <c r="AN31" s="69">
        <f t="shared" ref="AN31" si="22">SUM(AN29,AN30)</f>
        <v>820.05000000000007</v>
      </c>
      <c r="AO31" s="69"/>
      <c r="AP31" s="69"/>
      <c r="AQ31" s="46"/>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row>
    <row r="32" spans="1:110" s="71" customFormat="1" ht="20.100000000000001" customHeight="1" x14ac:dyDescent="0.2">
      <c r="A32" s="46">
        <f t="shared" si="0"/>
        <v>13</v>
      </c>
      <c r="B32" s="209" t="s">
        <v>182</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46"/>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row>
    <row r="33" spans="1:110" s="399" customFormat="1" ht="20.100000000000001" customHeight="1" x14ac:dyDescent="0.2">
      <c r="A33" s="46">
        <f t="shared" si="0"/>
        <v>14</v>
      </c>
      <c r="B33" s="444" t="s">
        <v>183</v>
      </c>
      <c r="C33" s="57"/>
      <c r="D33" s="57"/>
      <c r="E33" s="57"/>
      <c r="F33" s="57"/>
      <c r="G33" s="60">
        <f t="shared" ref="G33:G37" si="23">IF(ISBLANK(I33),H33,I33)</f>
        <v>945.98</v>
      </c>
      <c r="H33" s="61">
        <f>(945.98)*'Tableau de bord'!$H$4/$G$23</f>
        <v>945.98</v>
      </c>
      <c r="I33" s="57"/>
      <c r="J33" s="60">
        <f t="shared" ref="J33:J37" si="24">IF(ISBLANK(L33),K33,L33)</f>
        <v>102.5</v>
      </c>
      <c r="K33" s="61">
        <f>(102.5)*'Tableau de bord'!$H$4/$J$23</f>
        <v>102.5</v>
      </c>
      <c r="L33" s="57"/>
      <c r="M33" s="60">
        <f t="shared" ref="M33:M37" si="25">IF(ISBLANK(O33),N33,O33)</f>
        <v>79.4541910331384</v>
      </c>
      <c r="N33" s="61">
        <f>79.4541910331384*'Tableau de bord'!$H$4/$M$23</f>
        <v>79.4541910331384</v>
      </c>
      <c r="O33" s="63"/>
      <c r="P33" s="60">
        <f t="shared" ref="P33:P37" si="26">IF(ISBLANK(R33),Q33,R33)</f>
        <v>176.11</v>
      </c>
      <c r="Q33" s="61">
        <f>176.11*'Tableau de bord'!$H$4/$P$23</f>
        <v>176.11</v>
      </c>
      <c r="R33" s="57"/>
      <c r="S33" s="60">
        <f t="shared" ref="S33:S37" si="27">IF(ISBLANK(U33),T33,U33)</f>
        <v>336.47</v>
      </c>
      <c r="T33" s="61">
        <f>336.47*'Tableau de bord'!$H$4/$S$23</f>
        <v>336.47</v>
      </c>
      <c r="U33" s="57"/>
      <c r="V33" s="60">
        <f t="shared" ref="V33:V37" si="28">IF(ISBLANK(X33),W33,X33)</f>
        <v>189</v>
      </c>
      <c r="W33" s="61">
        <f>(189)*'Tableau de bord'!$H$4/$V$23</f>
        <v>189</v>
      </c>
      <c r="X33" s="57"/>
      <c r="Y33" s="60">
        <f t="shared" ref="Y33:Y37" si="29">IF(ISBLANK(AA33),Z33,AA33)</f>
        <v>74.5</v>
      </c>
      <c r="Z33" s="61">
        <f>(74.5)*'Tableau de bord'!$H$4/$V$23</f>
        <v>74.5</v>
      </c>
      <c r="AA33" s="57"/>
      <c r="AB33" s="60">
        <f t="shared" ref="AB33:AB37" si="30">IF(ISBLANK(AD33),AC33,AD33)</f>
        <v>59</v>
      </c>
      <c r="AC33" s="61">
        <f>59*'Tableau de bord'!$H$4/$G$23</f>
        <v>59</v>
      </c>
      <c r="AD33" s="57"/>
      <c r="AE33" s="60">
        <f t="shared" ref="AE33:AE37" si="31">IF(ISBLANK(AG33),AF33,AG33)</f>
        <v>120</v>
      </c>
      <c r="AF33" s="61">
        <f>120*'Tableau de bord'!$H$4/$AE$23</f>
        <v>120</v>
      </c>
      <c r="AG33" s="57"/>
      <c r="AH33" s="60">
        <f t="shared" ref="AH33:AH37" si="32">IF(ISBLANK(AJ33),AI33,AJ33)</f>
        <v>104.94</v>
      </c>
      <c r="AI33" s="61">
        <f>104.94*'Tableau de bord'!$H$4/$AH$23</f>
        <v>104.94</v>
      </c>
      <c r="AJ33" s="57"/>
      <c r="AK33" s="60">
        <f t="shared" ref="AK33:AK37" si="33">IF(ISBLANK(AM33),AL33,AM33)</f>
        <v>150.5</v>
      </c>
      <c r="AL33" s="61">
        <f>150.5*'Tableau de bord'!$H$4/$AK$23</f>
        <v>150.5</v>
      </c>
      <c r="AM33" s="57"/>
      <c r="AN33" s="60">
        <f t="shared" ref="AN33:AN37" si="34">IF(ISBLANK(AP33),AO33,AP33)</f>
        <v>197.49</v>
      </c>
      <c r="AO33" s="61">
        <f>197.49*'Tableau de bord'!$H$4/$AN$23</f>
        <v>197.49</v>
      </c>
      <c r="AP33" s="57"/>
      <c r="AQ33" s="46"/>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row>
    <row r="34" spans="1:110" s="399" customFormat="1" ht="20.100000000000001" customHeight="1" x14ac:dyDescent="0.2">
      <c r="A34" s="46">
        <f t="shared" si="0"/>
        <v>15</v>
      </c>
      <c r="B34" s="117" t="s">
        <v>184</v>
      </c>
      <c r="C34" s="57"/>
      <c r="D34" s="57"/>
      <c r="E34" s="57"/>
      <c r="F34" s="57"/>
      <c r="G34" s="60">
        <f t="shared" si="23"/>
        <v>465.16999999999996</v>
      </c>
      <c r="H34" s="61">
        <f>465.17*'Tableau de bord'!$H$4/$G$23</f>
        <v>465.16999999999996</v>
      </c>
      <c r="I34" s="57"/>
      <c r="J34" s="60">
        <f t="shared" si="24"/>
        <v>33.479999999999997</v>
      </c>
      <c r="K34" s="61">
        <f>(33.48)*'Tableau de bord'!$H$4/$J$23</f>
        <v>33.479999999999997</v>
      </c>
      <c r="L34" s="57"/>
      <c r="M34" s="60">
        <f t="shared" si="25"/>
        <v>8.4499999999999993</v>
      </c>
      <c r="N34" s="61">
        <f>8.45*'Tableau de bord'!$H$4/$M$23</f>
        <v>8.4499999999999993</v>
      </c>
      <c r="O34" s="63"/>
      <c r="P34" s="60">
        <f t="shared" si="26"/>
        <v>63.88000000000001</v>
      </c>
      <c r="Q34" s="61">
        <f>63.88*'Tableau de bord'!$H$4/$P$23</f>
        <v>63.88000000000001</v>
      </c>
      <c r="R34" s="57"/>
      <c r="S34" s="60">
        <f t="shared" si="27"/>
        <v>28.939999999999998</v>
      </c>
      <c r="T34" s="61">
        <f>28.94*'Tableau de bord'!$H$4/$S$23</f>
        <v>28.939999999999998</v>
      </c>
      <c r="U34" s="57"/>
      <c r="V34" s="60">
        <f t="shared" si="28"/>
        <v>0</v>
      </c>
      <c r="W34" s="61">
        <f>(0)*'Tableau de bord'!$H$4/$V$23</f>
        <v>0</v>
      </c>
      <c r="X34" s="57"/>
      <c r="Y34" s="60">
        <f t="shared" si="29"/>
        <v>0</v>
      </c>
      <c r="Z34" s="61">
        <f>(0)*'Tableau de bord'!$H$4/$V$23</f>
        <v>0</v>
      </c>
      <c r="AA34" s="57"/>
      <c r="AB34" s="60">
        <f t="shared" si="30"/>
        <v>26</v>
      </c>
      <c r="AC34" s="61">
        <f>26*'Tableau de bord'!$H$4/$G$23</f>
        <v>26</v>
      </c>
      <c r="AD34" s="57"/>
      <c r="AE34" s="60">
        <f t="shared" si="31"/>
        <v>10.79</v>
      </c>
      <c r="AF34" s="61">
        <f>10.79*'Tableau de bord'!$H$4/$AE$23</f>
        <v>10.79</v>
      </c>
      <c r="AG34" s="57"/>
      <c r="AH34" s="60">
        <f t="shared" si="32"/>
        <v>49.81</v>
      </c>
      <c r="AI34" s="61">
        <f>49.81*'Tableau de bord'!$H$4/$AH$23</f>
        <v>49.81</v>
      </c>
      <c r="AJ34" s="57"/>
      <c r="AK34" s="60">
        <f t="shared" si="33"/>
        <v>52.16</v>
      </c>
      <c r="AL34" s="61">
        <f>52.16*'Tableau de bord'!$H$4/$AK$23</f>
        <v>52.16</v>
      </c>
      <c r="AM34" s="57"/>
      <c r="AN34" s="60">
        <f t="shared" si="34"/>
        <v>58.84</v>
      </c>
      <c r="AO34" s="61">
        <f>58.84*'Tableau de bord'!$H$4/$AN$23</f>
        <v>58.84</v>
      </c>
      <c r="AP34" s="57"/>
      <c r="AQ34" s="46"/>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row>
    <row r="35" spans="1:110" ht="15.75" x14ac:dyDescent="0.2">
      <c r="A35" s="46">
        <f t="shared" si="0"/>
        <v>16</v>
      </c>
      <c r="B35" s="119" t="s">
        <v>185</v>
      </c>
      <c r="C35" s="57"/>
      <c r="D35" s="57"/>
      <c r="E35" s="57"/>
      <c r="F35" s="57"/>
      <c r="G35" s="60">
        <f t="shared" si="23"/>
        <v>0</v>
      </c>
      <c r="H35" s="61">
        <f>0*'Tableau de bord'!$H$4/$G$23</f>
        <v>0</v>
      </c>
      <c r="I35" s="57"/>
      <c r="J35" s="60">
        <f t="shared" si="24"/>
        <v>0</v>
      </c>
      <c r="K35" s="61">
        <f>(0)*'Tableau de bord'!$H$4/$J$23</f>
        <v>0</v>
      </c>
      <c r="L35" s="57"/>
      <c r="M35" s="60">
        <f t="shared" si="25"/>
        <v>0</v>
      </c>
      <c r="N35" s="61">
        <f>0*'Tableau de bord'!$H$4/$M$23</f>
        <v>0</v>
      </c>
      <c r="O35" s="63"/>
      <c r="P35" s="60">
        <f t="shared" si="26"/>
        <v>0</v>
      </c>
      <c r="Q35" s="61">
        <f>0*'Tableau de bord'!$H$4/$P$23</f>
        <v>0</v>
      </c>
      <c r="R35" s="57"/>
      <c r="S35" s="60">
        <f t="shared" si="27"/>
        <v>0</v>
      </c>
      <c r="T35" s="61">
        <f>0*'Tableau de bord'!$H$4/$S$23</f>
        <v>0</v>
      </c>
      <c r="U35" s="57"/>
      <c r="V35" s="60">
        <f t="shared" si="28"/>
        <v>24.2</v>
      </c>
      <c r="W35" s="61">
        <f>(24.2)*'Tableau de bord'!$H$4/$V$23</f>
        <v>24.2</v>
      </c>
      <c r="X35" s="57"/>
      <c r="Y35" s="60">
        <f t="shared" si="29"/>
        <v>0</v>
      </c>
      <c r="Z35" s="61">
        <f>(0)*'Tableau de bord'!$H$4/$V$23</f>
        <v>0</v>
      </c>
      <c r="AA35" s="57"/>
      <c r="AB35" s="60">
        <f t="shared" si="30"/>
        <v>0</v>
      </c>
      <c r="AC35" s="61">
        <f>0*'Tableau de bord'!$H$4/$G$23</f>
        <v>0</v>
      </c>
      <c r="AD35" s="57"/>
      <c r="AE35" s="60">
        <f t="shared" si="31"/>
        <v>0</v>
      </c>
      <c r="AF35" s="61">
        <f>0*'Tableau de bord'!$H$4/$AE$23</f>
        <v>0</v>
      </c>
      <c r="AG35" s="57"/>
      <c r="AH35" s="60">
        <f t="shared" si="32"/>
        <v>0</v>
      </c>
      <c r="AI35" s="61">
        <f>0*'Tableau de bord'!$H$4/$AH$23</f>
        <v>0</v>
      </c>
      <c r="AJ35" s="57"/>
      <c r="AK35" s="60">
        <f t="shared" si="33"/>
        <v>0</v>
      </c>
      <c r="AL35" s="61">
        <f>0*'Tableau de bord'!$H$4/$AK$23</f>
        <v>0</v>
      </c>
      <c r="AM35" s="57"/>
      <c r="AN35" s="60">
        <f t="shared" si="34"/>
        <v>0</v>
      </c>
      <c r="AO35" s="61">
        <f>0*'Tableau de bord'!$H$4/$AN$23</f>
        <v>0</v>
      </c>
      <c r="AP35" s="57"/>
    </row>
    <row r="36" spans="1:110" ht="15.75" x14ac:dyDescent="0.2">
      <c r="A36" s="46">
        <f t="shared" si="0"/>
        <v>17</v>
      </c>
      <c r="B36" s="445" t="s">
        <v>389</v>
      </c>
      <c r="C36" s="57"/>
      <c r="D36" s="57"/>
      <c r="E36" s="57"/>
      <c r="F36" s="57"/>
      <c r="G36" s="60">
        <f t="shared" si="23"/>
        <v>0</v>
      </c>
      <c r="H36" s="61">
        <f>(0)*'Tableau de bord'!$H$4/$G$23</f>
        <v>0</v>
      </c>
      <c r="I36" s="57"/>
      <c r="J36" s="60">
        <f t="shared" si="24"/>
        <v>0</v>
      </c>
      <c r="K36" s="61">
        <f>(0)*'Tableau de bord'!$H$4/$J$23</f>
        <v>0</v>
      </c>
      <c r="L36" s="57"/>
      <c r="M36" s="60">
        <f t="shared" si="25"/>
        <v>2.14</v>
      </c>
      <c r="N36" s="61">
        <f>2.14*'Tableau de bord'!$H$4/$M$23</f>
        <v>2.14</v>
      </c>
      <c r="O36" s="63"/>
      <c r="P36" s="60">
        <f t="shared" si="26"/>
        <v>0</v>
      </c>
      <c r="Q36" s="61">
        <f>0*'Tableau de bord'!$H$4/$P$23</f>
        <v>0</v>
      </c>
      <c r="R36" s="57"/>
      <c r="S36" s="60">
        <f t="shared" si="27"/>
        <v>0</v>
      </c>
      <c r="T36" s="61">
        <f>0*'Tableau de bord'!$H$4/$S$23</f>
        <v>0</v>
      </c>
      <c r="U36" s="57"/>
      <c r="V36" s="60">
        <f t="shared" si="28"/>
        <v>0</v>
      </c>
      <c r="W36" s="61">
        <f>(0)*'Tableau de bord'!$H$4/$V$23</f>
        <v>0</v>
      </c>
      <c r="X36" s="57"/>
      <c r="Y36" s="60">
        <f t="shared" si="29"/>
        <v>0</v>
      </c>
      <c r="Z36" s="61">
        <f>(0)*'Tableau de bord'!$H$4/$V$23</f>
        <v>0</v>
      </c>
      <c r="AA36" s="57"/>
      <c r="AB36" s="60">
        <f t="shared" si="30"/>
        <v>0</v>
      </c>
      <c r="AC36" s="61">
        <f>0*'Tableau de bord'!$H$4/$G$23</f>
        <v>0</v>
      </c>
      <c r="AD36" s="57"/>
      <c r="AE36" s="60">
        <f t="shared" si="31"/>
        <v>0</v>
      </c>
      <c r="AF36" s="61">
        <f>0*'Tableau de bord'!$H$4/$AE$23</f>
        <v>0</v>
      </c>
      <c r="AG36" s="57"/>
      <c r="AH36" s="60">
        <f t="shared" si="32"/>
        <v>0</v>
      </c>
      <c r="AI36" s="61">
        <f>0*'Tableau de bord'!$H$4/$AH$23</f>
        <v>0</v>
      </c>
      <c r="AJ36" s="57"/>
      <c r="AK36" s="60">
        <f t="shared" si="33"/>
        <v>0</v>
      </c>
      <c r="AL36" s="61">
        <f>0*'Tableau de bord'!$H$4/$AK$23</f>
        <v>0</v>
      </c>
      <c r="AM36" s="57"/>
      <c r="AN36" s="60">
        <f t="shared" si="34"/>
        <v>0</v>
      </c>
      <c r="AO36" s="61">
        <f>0*'Tableau de bord'!$H$4/$AN$23</f>
        <v>0</v>
      </c>
      <c r="AP36" s="57"/>
    </row>
    <row r="37" spans="1:110" ht="20.100000000000001" customHeight="1" x14ac:dyDescent="0.2">
      <c r="A37" s="46">
        <f t="shared" si="0"/>
        <v>18</v>
      </c>
      <c r="B37" s="444" t="s">
        <v>390</v>
      </c>
      <c r="C37" s="403"/>
      <c r="D37" s="57"/>
      <c r="E37" s="57"/>
      <c r="F37" s="57"/>
      <c r="G37" s="60">
        <f t="shared" si="23"/>
        <v>566.34</v>
      </c>
      <c r="H37" s="61">
        <f>566.34*'Tableau de bord'!$H$4/$G$23</f>
        <v>566.34</v>
      </c>
      <c r="I37" s="52"/>
      <c r="J37" s="60">
        <f t="shared" si="24"/>
        <v>32</v>
      </c>
      <c r="K37" s="61">
        <f>(32)*'Tableau de bord'!$H$4/$J$23</f>
        <v>32</v>
      </c>
      <c r="L37" s="52"/>
      <c r="M37" s="60">
        <f t="shared" si="25"/>
        <v>78.209999999999994</v>
      </c>
      <c r="N37" s="61">
        <f>78.21*'Tableau de bord'!$H$4/$M$23</f>
        <v>78.209999999999994</v>
      </c>
      <c r="O37" s="52"/>
      <c r="P37" s="60">
        <f t="shared" si="26"/>
        <v>17</v>
      </c>
      <c r="Q37" s="61">
        <f>17*'Tableau de bord'!$H$4/$P$23</f>
        <v>17</v>
      </c>
      <c r="R37" s="52"/>
      <c r="S37" s="60">
        <f t="shared" si="27"/>
        <v>24.31</v>
      </c>
      <c r="T37" s="61">
        <f>24.31*'Tableau de bord'!$H$4/$S$23</f>
        <v>24.31</v>
      </c>
      <c r="U37" s="52"/>
      <c r="V37" s="60">
        <f t="shared" si="28"/>
        <v>0</v>
      </c>
      <c r="W37" s="61">
        <f>(0)*'Tableau de bord'!$H$4/$V$23</f>
        <v>0</v>
      </c>
      <c r="X37" s="52"/>
      <c r="Y37" s="60">
        <f t="shared" si="29"/>
        <v>0</v>
      </c>
      <c r="Z37" s="61">
        <f>(0)*'Tableau de bord'!$H$4/$V$23</f>
        <v>0</v>
      </c>
      <c r="AA37" s="52"/>
      <c r="AB37" s="60">
        <f t="shared" si="30"/>
        <v>27</v>
      </c>
      <c r="AC37" s="61">
        <f>27*'Tableau de bord'!$H$4/$G$23</f>
        <v>27</v>
      </c>
      <c r="AD37" s="52"/>
      <c r="AE37" s="60">
        <f t="shared" si="31"/>
        <v>11.59</v>
      </c>
      <c r="AF37" s="61">
        <f>11.59*'Tableau de bord'!$H$4/$AE$23</f>
        <v>11.59</v>
      </c>
      <c r="AG37" s="52"/>
      <c r="AH37" s="60">
        <f t="shared" si="32"/>
        <v>23.15</v>
      </c>
      <c r="AI37" s="61">
        <f>23.15*'Tableau de bord'!$H$4/$AH$23</f>
        <v>23.15</v>
      </c>
      <c r="AJ37" s="52"/>
      <c r="AK37" s="60">
        <f t="shared" si="33"/>
        <v>49.34</v>
      </c>
      <c r="AL37" s="61">
        <f>49.34*'Tableau de bord'!$H$4/$AK$23</f>
        <v>49.34</v>
      </c>
      <c r="AM37" s="52"/>
      <c r="AN37" s="60">
        <f t="shared" si="34"/>
        <v>35.32</v>
      </c>
      <c r="AO37" s="61">
        <f>35.32*'Tableau de bord'!$H$4/$AN$23</f>
        <v>35.32</v>
      </c>
      <c r="AP37" s="52"/>
    </row>
    <row r="38" spans="1:110" s="5" customFormat="1" ht="20.100000000000001" customHeight="1" x14ac:dyDescent="0.2">
      <c r="A38" s="46">
        <f t="shared" si="0"/>
        <v>19</v>
      </c>
      <c r="B38" s="120" t="s">
        <v>181</v>
      </c>
      <c r="C38" s="67">
        <f>SUM(C33:C37)</f>
        <v>0</v>
      </c>
      <c r="D38" s="67">
        <f>SUM(D33:D37)</f>
        <v>0</v>
      </c>
      <c r="E38" s="67">
        <f>SUM(E33:E37)</f>
        <v>0</v>
      </c>
      <c r="F38" s="67">
        <f>SUM(F33:F37)</f>
        <v>0</v>
      </c>
      <c r="G38" s="67">
        <f>SUM(G33:G37)</f>
        <v>1977.4900000000002</v>
      </c>
      <c r="H38" s="67"/>
      <c r="I38" s="67"/>
      <c r="J38" s="67">
        <f>SUM(J33:J37)</f>
        <v>167.98</v>
      </c>
      <c r="K38" s="67"/>
      <c r="L38" s="67"/>
      <c r="M38" s="67">
        <f>SUM(M33:M37)</f>
        <v>168.2541910331384</v>
      </c>
      <c r="N38" s="67"/>
      <c r="O38" s="67"/>
      <c r="P38" s="67">
        <f>SUM(P33:P37)</f>
        <v>256.99</v>
      </c>
      <c r="Q38" s="67"/>
      <c r="R38" s="67"/>
      <c r="S38" s="67">
        <f>SUM(S33:S37)</f>
        <v>389.72</v>
      </c>
      <c r="T38" s="67"/>
      <c r="U38" s="67"/>
      <c r="V38" s="67">
        <f>SUM(V33:V37)</f>
        <v>213.2</v>
      </c>
      <c r="W38" s="67"/>
      <c r="X38" s="67"/>
      <c r="Y38" s="67">
        <f>SUM(Y33:Y37)</f>
        <v>74.5</v>
      </c>
      <c r="Z38" s="67"/>
      <c r="AA38" s="67"/>
      <c r="AB38" s="67">
        <f>SUM(AB33:AB37)</f>
        <v>112</v>
      </c>
      <c r="AC38" s="67"/>
      <c r="AD38" s="67"/>
      <c r="AE38" s="67">
        <f>SUM(AE33:AE37)</f>
        <v>142.38</v>
      </c>
      <c r="AF38" s="67"/>
      <c r="AG38" s="67"/>
      <c r="AH38" s="67">
        <f>SUM(AH33:AH37)</f>
        <v>177.9</v>
      </c>
      <c r="AI38" s="67"/>
      <c r="AJ38" s="67"/>
      <c r="AK38" s="67">
        <f>SUM(AK33:AK37)</f>
        <v>252</v>
      </c>
      <c r="AL38" s="67"/>
      <c r="AM38" s="67"/>
      <c r="AN38" s="67">
        <f>SUM(AN33:AN37)</f>
        <v>291.65000000000003</v>
      </c>
      <c r="AO38" s="67"/>
      <c r="AP38" s="67"/>
      <c r="AQ38" s="46"/>
    </row>
    <row r="39" spans="1:110" s="71" customFormat="1" ht="20.100000000000001" customHeight="1" x14ac:dyDescent="0.2">
      <c r="A39" s="46">
        <f t="shared" si="0"/>
        <v>20</v>
      </c>
      <c r="B39" s="209" t="s">
        <v>186</v>
      </c>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46"/>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row>
    <row r="40" spans="1:110" ht="20.100000000000001" customHeight="1" x14ac:dyDescent="0.2">
      <c r="A40" s="46">
        <f t="shared" si="0"/>
        <v>21</v>
      </c>
      <c r="B40" s="117" t="s">
        <v>187</v>
      </c>
      <c r="C40" s="57"/>
      <c r="D40" s="57"/>
      <c r="E40" s="57"/>
      <c r="F40" s="57"/>
      <c r="G40" s="60">
        <f t="shared" ref="G40:G49" si="35">IF(ISBLANK(I40),H40,I40)</f>
        <v>505.86</v>
      </c>
      <c r="H40" s="61">
        <f>(505.86)*'Tableau de bord'!$H$4/$G$23</f>
        <v>505.86</v>
      </c>
      <c r="I40" s="57"/>
      <c r="J40" s="60">
        <f t="shared" ref="J40:J49" si="36">IF(ISBLANK(L40),K40,L40)</f>
        <v>60.14</v>
      </c>
      <c r="K40" s="61">
        <f>60.14*'Tableau de bord'!$H$4/$J$23</f>
        <v>60.14</v>
      </c>
      <c r="L40" s="57"/>
      <c r="M40" s="60">
        <f t="shared" ref="M40:M49" si="37">IF(ISBLANK(O40),N40,O40)</f>
        <v>46.74</v>
      </c>
      <c r="N40" s="61">
        <f>46.74*'Tableau de bord'!$H$4/$M$23</f>
        <v>46.74</v>
      </c>
      <c r="O40" s="63"/>
      <c r="P40" s="60">
        <f t="shared" ref="P40:P49" si="38">IF(ISBLANK(R40),Q40,R40)</f>
        <v>89.17</v>
      </c>
      <c r="Q40" s="61">
        <f>89.17*'Tableau de bord'!$H$4/$P$23</f>
        <v>89.17</v>
      </c>
      <c r="R40" s="57"/>
      <c r="S40" s="60">
        <f t="shared" ref="S40:S49" si="39">IF(ISBLANK(U40),T40,U40)</f>
        <v>120.77</v>
      </c>
      <c r="T40" s="61">
        <f>120.77*'Tableau de bord'!$H$4/$S$23</f>
        <v>120.77</v>
      </c>
      <c r="U40" s="57"/>
      <c r="V40" s="60">
        <f t="shared" ref="V40:V49" si="40">IF(ISBLANK(X40),W40,X40)</f>
        <v>47</v>
      </c>
      <c r="W40" s="61">
        <f>47*'Tableau de bord'!$H$4/$V$23</f>
        <v>47</v>
      </c>
      <c r="X40" s="57"/>
      <c r="Y40" s="60">
        <f t="shared" ref="Y40:Y49" si="41">IF(ISBLANK(AA40),Z40,AA40)</f>
        <v>0</v>
      </c>
      <c r="Z40" s="61">
        <f>0*'Tableau de bord'!$H$4/$V$23</f>
        <v>0</v>
      </c>
      <c r="AA40" s="57"/>
      <c r="AB40" s="60">
        <f t="shared" ref="AB40:AB49" si="42">IF(ISBLANK(AD40),AC40,AD40)</f>
        <v>13.999999999999998</v>
      </c>
      <c r="AC40" s="61">
        <f>(14)*'Tableau de bord'!$H$4/$G$23</f>
        <v>13.999999999999998</v>
      </c>
      <c r="AD40" s="57"/>
      <c r="AE40" s="60">
        <f t="shared" ref="AE40:AE49" si="43">IF(ISBLANK(AG40),AF40,AG40)</f>
        <v>40.35</v>
      </c>
      <c r="AF40" s="61">
        <f>40.35*'Tableau de bord'!$H$4/$AE$23</f>
        <v>40.35</v>
      </c>
      <c r="AG40" s="57"/>
      <c r="AH40" s="60">
        <f t="shared" ref="AH40:AH49" si="44">IF(ISBLANK(AJ40),AI40,AJ40)</f>
        <v>101.04</v>
      </c>
      <c r="AI40" s="61">
        <f>101.04*'Tableau de bord'!$H$4/$AH$23</f>
        <v>101.04</v>
      </c>
      <c r="AJ40" s="57"/>
      <c r="AK40" s="60">
        <f t="shared" ref="AK40:AK49" si="45">IF(ISBLANK(AM40),AL40,AM40)</f>
        <v>56.67</v>
      </c>
      <c r="AL40" s="61">
        <f>56.67*'Tableau de bord'!$H$4/$AK$23</f>
        <v>56.67</v>
      </c>
      <c r="AM40" s="57"/>
      <c r="AN40" s="60">
        <f t="shared" ref="AN40:AN49" si="46">IF(ISBLANK(AP40),AO40,AP40)</f>
        <v>76.28</v>
      </c>
      <c r="AO40" s="61">
        <f>76.28*'Tableau de bord'!$H$4/$AN$23</f>
        <v>76.28</v>
      </c>
      <c r="AP40" s="57"/>
    </row>
    <row r="41" spans="1:110" ht="20.100000000000001" customHeight="1" x14ac:dyDescent="0.2">
      <c r="A41" s="46">
        <f t="shared" si="0"/>
        <v>22</v>
      </c>
      <c r="B41" s="117" t="s">
        <v>188</v>
      </c>
      <c r="C41" s="57"/>
      <c r="D41" s="57"/>
      <c r="E41" s="57"/>
      <c r="F41" s="57"/>
      <c r="G41" s="60">
        <f t="shared" si="35"/>
        <v>499.59</v>
      </c>
      <c r="H41" s="61">
        <f>499.59*'Tableau de bord'!$H$4/$G$23</f>
        <v>499.59</v>
      </c>
      <c r="I41" s="57"/>
      <c r="J41" s="60">
        <f t="shared" si="36"/>
        <v>129.66</v>
      </c>
      <c r="K41" s="61">
        <f>(129.66)*'Tableau de bord'!$H$4/$J$23</f>
        <v>129.66</v>
      </c>
      <c r="L41" s="57"/>
      <c r="M41" s="60">
        <f t="shared" si="37"/>
        <v>52.59</v>
      </c>
      <c r="N41" s="61">
        <f>52.59*'Tableau de bord'!$H$4/$M$23</f>
        <v>52.59</v>
      </c>
      <c r="O41" s="63"/>
      <c r="P41" s="60">
        <f t="shared" si="38"/>
        <v>0</v>
      </c>
      <c r="Q41" s="61">
        <f>0*'Tableau de bord'!$H$4/$P$23</f>
        <v>0</v>
      </c>
      <c r="R41" s="57"/>
      <c r="S41" s="60">
        <f t="shared" si="39"/>
        <v>122.08</v>
      </c>
      <c r="T41" s="61">
        <f>122.08*'Tableau de bord'!$H$4/$S$23</f>
        <v>122.08</v>
      </c>
      <c r="U41" s="57"/>
      <c r="V41" s="60">
        <f t="shared" si="40"/>
        <v>167</v>
      </c>
      <c r="W41" s="61">
        <f>(167)*'Tableau de bord'!$H$4/$V$23</f>
        <v>167</v>
      </c>
      <c r="X41" s="57"/>
      <c r="Y41" s="60">
        <f t="shared" si="41"/>
        <v>131.5</v>
      </c>
      <c r="Z41" s="61">
        <f>(131.5)*'Tableau de bord'!$H$4/$V$23</f>
        <v>131.5</v>
      </c>
      <c r="AA41" s="57"/>
      <c r="AB41" s="60">
        <f t="shared" si="42"/>
        <v>0</v>
      </c>
      <c r="AC41" s="61">
        <f>0*'Tableau de bord'!$H$4/$G$23</f>
        <v>0</v>
      </c>
      <c r="AD41" s="57"/>
      <c r="AE41" s="60">
        <f t="shared" si="43"/>
        <v>90</v>
      </c>
      <c r="AF41" s="61">
        <f>90*'Tableau de bord'!$H$4/$AE$23</f>
        <v>90</v>
      </c>
      <c r="AG41" s="57"/>
      <c r="AH41" s="60">
        <f t="shared" si="44"/>
        <v>115.77</v>
      </c>
      <c r="AI41" s="61">
        <f>115.77*'Tableau de bord'!$H$4/$AH$23</f>
        <v>115.77</v>
      </c>
      <c r="AJ41" s="57"/>
      <c r="AK41" s="60">
        <f t="shared" si="45"/>
        <v>129.66</v>
      </c>
      <c r="AL41" s="61">
        <f>129.66*'Tableau de bord'!$H$4/$AK$23</f>
        <v>129.66</v>
      </c>
      <c r="AM41" s="57"/>
      <c r="AN41" s="60">
        <f t="shared" si="46"/>
        <v>90</v>
      </c>
      <c r="AO41" s="61">
        <f>90*'Tableau de bord'!$H$4/$AN$23</f>
        <v>90</v>
      </c>
      <c r="AP41" s="57"/>
    </row>
    <row r="42" spans="1:110" ht="20.100000000000001" customHeight="1" x14ac:dyDescent="0.2">
      <c r="A42" s="46">
        <f t="shared" si="0"/>
        <v>23</v>
      </c>
      <c r="B42" s="117" t="s">
        <v>189</v>
      </c>
      <c r="C42" s="403"/>
      <c r="D42" s="57"/>
      <c r="E42" s="57"/>
      <c r="F42" s="57"/>
      <c r="G42" s="60">
        <f t="shared" si="35"/>
        <v>709.23</v>
      </c>
      <c r="H42" s="61">
        <f>(709.23)*'Tableau de bord'!$H$4/$G$23</f>
        <v>709.23</v>
      </c>
      <c r="I42" s="57"/>
      <c r="J42" s="60">
        <f t="shared" si="36"/>
        <v>0</v>
      </c>
      <c r="K42" s="61">
        <f>0*'Tableau de bord'!$H$4/$J$23</f>
        <v>0</v>
      </c>
      <c r="L42" s="57"/>
      <c r="M42" s="60">
        <f t="shared" si="37"/>
        <v>0</v>
      </c>
      <c r="N42" s="61">
        <f>0*'Tableau de bord'!$H$4/$M$23</f>
        <v>0</v>
      </c>
      <c r="O42" s="63"/>
      <c r="P42" s="60">
        <f t="shared" si="38"/>
        <v>25</v>
      </c>
      <c r="Q42" s="61">
        <f>25*'Tableau de bord'!$H$4/$P$23</f>
        <v>25</v>
      </c>
      <c r="R42" s="57"/>
      <c r="S42" s="60">
        <f t="shared" si="39"/>
        <v>0</v>
      </c>
      <c r="T42" s="61">
        <f>0*'Tableau de bord'!$H$4/$S$23</f>
        <v>0</v>
      </c>
      <c r="U42" s="57"/>
      <c r="V42" s="60">
        <f t="shared" si="40"/>
        <v>0</v>
      </c>
      <c r="W42" s="61">
        <f>0*'Tableau de bord'!$H$4/$V$23</f>
        <v>0</v>
      </c>
      <c r="X42" s="57"/>
      <c r="Y42" s="60">
        <f t="shared" si="41"/>
        <v>0</v>
      </c>
      <c r="Z42" s="61">
        <f>0*'Tableau de bord'!$H$4/$V$23</f>
        <v>0</v>
      </c>
      <c r="AA42" s="57"/>
      <c r="AB42" s="60">
        <f t="shared" si="42"/>
        <v>11</v>
      </c>
      <c r="AC42" s="61">
        <f>(11)*'Tableau de bord'!$H$4/$G$23</f>
        <v>11</v>
      </c>
      <c r="AD42" s="57"/>
      <c r="AE42" s="60">
        <f t="shared" si="43"/>
        <v>0</v>
      </c>
      <c r="AF42" s="61">
        <f>0*'Tableau de bord'!$H$4/$AE$23</f>
        <v>0</v>
      </c>
      <c r="AG42" s="57"/>
      <c r="AH42" s="60">
        <f t="shared" si="44"/>
        <v>0</v>
      </c>
      <c r="AI42" s="61">
        <f>0*'Tableau de bord'!$H$4/$AH$23</f>
        <v>0</v>
      </c>
      <c r="AJ42" s="57"/>
      <c r="AK42" s="60">
        <f t="shared" si="45"/>
        <v>0</v>
      </c>
      <c r="AL42" s="61">
        <f>0*'Tableau de bord'!$H$4/$AK$23</f>
        <v>0</v>
      </c>
      <c r="AM42" s="57"/>
      <c r="AN42" s="60">
        <f t="shared" si="46"/>
        <v>0</v>
      </c>
      <c r="AO42" s="61">
        <f>0*'Tableau de bord'!$H$4/$AN$23</f>
        <v>0</v>
      </c>
      <c r="AP42" s="57"/>
    </row>
    <row r="43" spans="1:110" ht="20.100000000000001" customHeight="1" x14ac:dyDescent="0.2">
      <c r="A43" s="46">
        <f t="shared" si="0"/>
        <v>24</v>
      </c>
      <c r="B43" s="117" t="s">
        <v>190</v>
      </c>
      <c r="C43" s="57"/>
      <c r="D43" s="57"/>
      <c r="E43" s="57"/>
      <c r="F43" s="57"/>
      <c r="G43" s="60">
        <f t="shared" si="35"/>
        <v>0</v>
      </c>
      <c r="H43" s="61">
        <f>0*'Tableau de bord'!$H$4/$G$23</f>
        <v>0</v>
      </c>
      <c r="I43" s="57"/>
      <c r="J43" s="60">
        <f t="shared" si="36"/>
        <v>0</v>
      </c>
      <c r="K43" s="61">
        <f>0*'Tableau de bord'!$H$4/$J$23</f>
        <v>0</v>
      </c>
      <c r="L43" s="57"/>
      <c r="M43" s="60">
        <f t="shared" si="37"/>
        <v>29.6</v>
      </c>
      <c r="N43" s="61">
        <f>29.6*'Tableau de bord'!$H$4/$M$23</f>
        <v>29.6</v>
      </c>
      <c r="O43" s="63"/>
      <c r="P43" s="60">
        <f t="shared" si="38"/>
        <v>44.54</v>
      </c>
      <c r="Q43" s="61">
        <f>44.54*'Tableau de bord'!$H$4/$P$23</f>
        <v>44.54</v>
      </c>
      <c r="R43" s="57"/>
      <c r="S43" s="60">
        <f t="shared" si="39"/>
        <v>0</v>
      </c>
      <c r="T43" s="61">
        <f>0*'Tableau de bord'!$H$4/$S$23</f>
        <v>0</v>
      </c>
      <c r="U43" s="57"/>
      <c r="V43" s="60">
        <f t="shared" si="40"/>
        <v>54.957764782326194</v>
      </c>
      <c r="W43" s="61">
        <f>54.9577647823262*'Tableau de bord'!$H$4/$V$23</f>
        <v>54.957764782326194</v>
      </c>
      <c r="X43" s="57"/>
      <c r="Y43" s="60">
        <f t="shared" si="41"/>
        <v>0</v>
      </c>
      <c r="Z43" s="61">
        <f>0*'Tableau de bord'!$H$4/$V$23</f>
        <v>0</v>
      </c>
      <c r="AA43" s="57"/>
      <c r="AB43" s="60">
        <f t="shared" si="42"/>
        <v>0</v>
      </c>
      <c r="AC43" s="61">
        <f>0*'Tableau de bord'!$H$4/$G$23</f>
        <v>0</v>
      </c>
      <c r="AD43" s="57"/>
      <c r="AE43" s="60">
        <f t="shared" si="43"/>
        <v>0</v>
      </c>
      <c r="AF43" s="61">
        <f>0*'Tableau de bord'!$H$4/$AE$23</f>
        <v>0</v>
      </c>
      <c r="AG43" s="57"/>
      <c r="AH43" s="60">
        <f t="shared" si="44"/>
        <v>0</v>
      </c>
      <c r="AI43" s="61">
        <f>0*'Tableau de bord'!$H$4/$AH$23</f>
        <v>0</v>
      </c>
      <c r="AJ43" s="57"/>
      <c r="AK43" s="60">
        <f t="shared" si="45"/>
        <v>0</v>
      </c>
      <c r="AL43" s="61">
        <f>0*'Tableau de bord'!$H$4/$AK$23</f>
        <v>0</v>
      </c>
      <c r="AM43" s="57"/>
      <c r="AN43" s="60">
        <f t="shared" si="46"/>
        <v>0</v>
      </c>
      <c r="AO43" s="61">
        <f>0*'Tableau de bord'!$H$4/$AN$23</f>
        <v>0</v>
      </c>
      <c r="AP43" s="57"/>
    </row>
    <row r="44" spans="1:110" ht="20.100000000000001" customHeight="1" x14ac:dyDescent="0.2">
      <c r="A44" s="46">
        <f t="shared" si="0"/>
        <v>25</v>
      </c>
      <c r="B44" s="117" t="s">
        <v>191</v>
      </c>
      <c r="C44" s="57"/>
      <c r="D44" s="57"/>
      <c r="E44" s="57"/>
      <c r="F44" s="57"/>
      <c r="G44" s="60">
        <f t="shared" si="35"/>
        <v>0</v>
      </c>
      <c r="H44" s="61">
        <f>0*'Tableau de bord'!$H$4/$G$23</f>
        <v>0</v>
      </c>
      <c r="I44" s="57"/>
      <c r="J44" s="60">
        <f t="shared" si="36"/>
        <v>0</v>
      </c>
      <c r="K44" s="61">
        <f>0*'Tableau de bord'!$H$4/$J$23</f>
        <v>0</v>
      </c>
      <c r="L44" s="57"/>
      <c r="M44" s="60">
        <f t="shared" si="37"/>
        <v>0</v>
      </c>
      <c r="N44" s="61">
        <f>0*'Tableau de bord'!$H$4/$M$23</f>
        <v>0</v>
      </c>
      <c r="O44" s="63"/>
      <c r="P44" s="60">
        <f t="shared" si="38"/>
        <v>0</v>
      </c>
      <c r="Q44" s="61">
        <f>0*'Tableau de bord'!$H$4/$P$23</f>
        <v>0</v>
      </c>
      <c r="R44" s="57"/>
      <c r="S44" s="60">
        <f t="shared" si="39"/>
        <v>0</v>
      </c>
      <c r="T44" s="61">
        <f>0*'Tableau de bord'!$H$4/$S$23</f>
        <v>0</v>
      </c>
      <c r="U44" s="57"/>
      <c r="V44" s="60">
        <f t="shared" si="40"/>
        <v>0</v>
      </c>
      <c r="W44" s="61">
        <f>0*'Tableau de bord'!$H$4/$V$23</f>
        <v>0</v>
      </c>
      <c r="X44" s="57"/>
      <c r="Y44" s="60">
        <f t="shared" si="41"/>
        <v>0</v>
      </c>
      <c r="Z44" s="61">
        <f>0*'Tableau de bord'!$H$4/$V$23</f>
        <v>0</v>
      </c>
      <c r="AA44" s="57"/>
      <c r="AB44" s="60">
        <f t="shared" si="42"/>
        <v>0</v>
      </c>
      <c r="AC44" s="61">
        <f>0*'Tableau de bord'!$H$4/$G$23</f>
        <v>0</v>
      </c>
      <c r="AD44" s="57"/>
      <c r="AE44" s="60">
        <f t="shared" si="43"/>
        <v>0</v>
      </c>
      <c r="AF44" s="61">
        <f>0*'Tableau de bord'!$H$4/$AE$23</f>
        <v>0</v>
      </c>
      <c r="AG44" s="57"/>
      <c r="AH44" s="60">
        <f t="shared" si="44"/>
        <v>0</v>
      </c>
      <c r="AI44" s="61">
        <f>0*'Tableau de bord'!$H$4/$AH$23</f>
        <v>0</v>
      </c>
      <c r="AJ44" s="57"/>
      <c r="AK44" s="60">
        <f t="shared" si="45"/>
        <v>0</v>
      </c>
      <c r="AL44" s="61">
        <f>0*'Tableau de bord'!$H$4/$AK$23</f>
        <v>0</v>
      </c>
      <c r="AM44" s="57"/>
      <c r="AN44" s="60">
        <f t="shared" si="46"/>
        <v>0</v>
      </c>
      <c r="AO44" s="61">
        <f>0*'Tableau de bord'!$H$4/$AN$23</f>
        <v>0</v>
      </c>
      <c r="AP44" s="57"/>
    </row>
    <row r="45" spans="1:110" ht="20.100000000000001" customHeight="1" x14ac:dyDescent="0.2">
      <c r="A45" s="46">
        <f t="shared" si="0"/>
        <v>26</v>
      </c>
      <c r="B45" s="117" t="s">
        <v>192</v>
      </c>
      <c r="C45" s="57"/>
      <c r="D45" s="57"/>
      <c r="E45" s="57"/>
      <c r="F45" s="57"/>
      <c r="G45" s="60">
        <f t="shared" si="35"/>
        <v>0</v>
      </c>
      <c r="H45" s="61">
        <f>0*'Tableau de bord'!$H$4/$G$23</f>
        <v>0</v>
      </c>
      <c r="I45" s="57"/>
      <c r="J45" s="60">
        <f t="shared" si="36"/>
        <v>0</v>
      </c>
      <c r="K45" s="61">
        <f>0*'Tableau de bord'!$H$4/$J$23</f>
        <v>0</v>
      </c>
      <c r="L45" s="57"/>
      <c r="M45" s="60">
        <f t="shared" si="37"/>
        <v>0</v>
      </c>
      <c r="N45" s="61">
        <f>0*'Tableau de bord'!$H$4/$M$23</f>
        <v>0</v>
      </c>
      <c r="O45" s="63"/>
      <c r="P45" s="60">
        <f t="shared" si="38"/>
        <v>0</v>
      </c>
      <c r="Q45" s="61">
        <f>0*'Tableau de bord'!$H$4/$P$23</f>
        <v>0</v>
      </c>
      <c r="R45" s="57"/>
      <c r="S45" s="60">
        <f t="shared" si="39"/>
        <v>0</v>
      </c>
      <c r="T45" s="61">
        <f>0*'Tableau de bord'!$H$4/$S$23</f>
        <v>0</v>
      </c>
      <c r="U45" s="57"/>
      <c r="V45" s="60">
        <f t="shared" si="40"/>
        <v>0</v>
      </c>
      <c r="W45" s="61">
        <f>0*'Tableau de bord'!$H$4/$V$23</f>
        <v>0</v>
      </c>
      <c r="X45" s="57"/>
      <c r="Y45" s="60">
        <f t="shared" si="41"/>
        <v>0</v>
      </c>
      <c r="Z45" s="61">
        <f>0*'Tableau de bord'!$H$4/$V$23</f>
        <v>0</v>
      </c>
      <c r="AA45" s="57"/>
      <c r="AB45" s="60">
        <f t="shared" si="42"/>
        <v>0</v>
      </c>
      <c r="AC45" s="61">
        <f>0*'Tableau de bord'!$H$4/$G$23</f>
        <v>0</v>
      </c>
      <c r="AD45" s="57"/>
      <c r="AE45" s="60">
        <f t="shared" si="43"/>
        <v>0</v>
      </c>
      <c r="AF45" s="61">
        <f>0*'Tableau de bord'!$H$4/$AE$23</f>
        <v>0</v>
      </c>
      <c r="AG45" s="57"/>
      <c r="AH45" s="60">
        <f t="shared" si="44"/>
        <v>0</v>
      </c>
      <c r="AI45" s="61">
        <f>0*'Tableau de bord'!$H$4/$AH$23</f>
        <v>0</v>
      </c>
      <c r="AJ45" s="57"/>
      <c r="AK45" s="60">
        <f t="shared" si="45"/>
        <v>0</v>
      </c>
      <c r="AL45" s="61">
        <f>0*'Tableau de bord'!$H$4/$AK$23</f>
        <v>0</v>
      </c>
      <c r="AM45" s="57"/>
      <c r="AN45" s="60">
        <f t="shared" si="46"/>
        <v>0</v>
      </c>
      <c r="AO45" s="61">
        <f>0*'Tableau de bord'!$H$4/$AN$23</f>
        <v>0</v>
      </c>
      <c r="AP45" s="57"/>
    </row>
    <row r="46" spans="1:110" ht="20.100000000000001" customHeight="1" x14ac:dyDescent="0.2">
      <c r="A46" s="46">
        <f t="shared" si="0"/>
        <v>27</v>
      </c>
      <c r="B46" s="117" t="s">
        <v>193</v>
      </c>
      <c r="C46" s="403"/>
      <c r="D46" s="57"/>
      <c r="E46" s="57"/>
      <c r="F46" s="57"/>
      <c r="G46" s="60">
        <f t="shared" si="35"/>
        <v>404.68</v>
      </c>
      <c r="H46" s="61">
        <f>404.68*'Tableau de bord'!$H$4/$G$23</f>
        <v>404.68</v>
      </c>
      <c r="I46" s="57"/>
      <c r="J46" s="60">
        <f t="shared" si="36"/>
        <v>0</v>
      </c>
      <c r="K46" s="61">
        <f>0*'Tableau de bord'!$H$4/$J$23</f>
        <v>0</v>
      </c>
      <c r="L46" s="57"/>
      <c r="M46" s="60">
        <f t="shared" si="37"/>
        <v>22.74</v>
      </c>
      <c r="N46" s="61">
        <f>22.74*'Tableau de bord'!$H$4/$M$23</f>
        <v>22.74</v>
      </c>
      <c r="O46" s="63"/>
      <c r="P46" s="60">
        <f t="shared" si="38"/>
        <v>11.43</v>
      </c>
      <c r="Q46" s="61">
        <f>11.43*'Tableau de bord'!$H$4/$P$23</f>
        <v>11.43</v>
      </c>
      <c r="R46" s="57"/>
      <c r="S46" s="60">
        <f t="shared" si="39"/>
        <v>0</v>
      </c>
      <c r="T46" s="61">
        <f>0*'Tableau de bord'!$H$4/$S$23</f>
        <v>0</v>
      </c>
      <c r="U46" s="57"/>
      <c r="V46" s="60">
        <f t="shared" si="40"/>
        <v>17.5</v>
      </c>
      <c r="W46" s="61">
        <f>17.5*'Tableau de bord'!$H$4/$V$23</f>
        <v>17.5</v>
      </c>
      <c r="X46" s="57"/>
      <c r="Y46" s="60">
        <f>IF(ISBLANK(AA46),Z46,AA46)</f>
        <v>35</v>
      </c>
      <c r="Z46" s="61">
        <f>35*'Tableau de bord'!$H$4/$V$23</f>
        <v>35</v>
      </c>
      <c r="AA46" s="57"/>
      <c r="AB46" s="60">
        <f t="shared" si="42"/>
        <v>16</v>
      </c>
      <c r="AC46" s="61">
        <f>16*'Tableau de bord'!$H$4/$G$23</f>
        <v>16</v>
      </c>
      <c r="AD46" s="57"/>
      <c r="AE46" s="60">
        <f t="shared" si="43"/>
        <v>0</v>
      </c>
      <c r="AF46" s="61">
        <f>0*'Tableau de bord'!$H$4/$AE$23</f>
        <v>0</v>
      </c>
      <c r="AG46" s="57"/>
      <c r="AH46" s="60">
        <f>IF(ISBLANK(AJ46),AI46,AJ46)</f>
        <v>0</v>
      </c>
      <c r="AI46" s="61">
        <f>0*'Tableau de bord'!$H$4/$AH$23</f>
        <v>0</v>
      </c>
      <c r="AJ46" s="57"/>
      <c r="AK46" s="60">
        <f t="shared" si="45"/>
        <v>0</v>
      </c>
      <c r="AL46" s="61">
        <f>0*'Tableau de bord'!$H$4/$AK$23</f>
        <v>0</v>
      </c>
      <c r="AM46" s="57"/>
      <c r="AN46" s="60">
        <f t="shared" si="46"/>
        <v>0</v>
      </c>
      <c r="AO46" s="61">
        <f>0*'Tableau de bord'!$H$4/$AN$23</f>
        <v>0</v>
      </c>
      <c r="AP46" s="57"/>
    </row>
    <row r="47" spans="1:110" ht="20.100000000000001" customHeight="1" x14ac:dyDescent="0.2">
      <c r="A47" s="46">
        <f t="shared" si="0"/>
        <v>28</v>
      </c>
      <c r="B47" s="117" t="s">
        <v>194</v>
      </c>
      <c r="C47" s="57"/>
      <c r="D47" s="57"/>
      <c r="E47" s="57"/>
      <c r="F47" s="57"/>
      <c r="G47" s="60">
        <f t="shared" si="35"/>
        <v>0</v>
      </c>
      <c r="H47" s="61">
        <f>0*'Tableau de bord'!$H$4/$G$23</f>
        <v>0</v>
      </c>
      <c r="I47" s="57"/>
      <c r="J47" s="60">
        <f t="shared" si="36"/>
        <v>0</v>
      </c>
      <c r="K47" s="61">
        <f>0*'Tableau de bord'!$H$4/$J$23</f>
        <v>0</v>
      </c>
      <c r="L47" s="57"/>
      <c r="M47" s="60">
        <f t="shared" si="37"/>
        <v>23.06</v>
      </c>
      <c r="N47" s="61">
        <f>23.06*'Tableau de bord'!$H$4/$M$23</f>
        <v>23.06</v>
      </c>
      <c r="O47" s="63"/>
      <c r="P47" s="60">
        <f t="shared" si="38"/>
        <v>17.75</v>
      </c>
      <c r="Q47" s="61">
        <f>17.75*'Tableau de bord'!$H$4/$P$23</f>
        <v>17.75</v>
      </c>
      <c r="R47" s="57"/>
      <c r="S47" s="60">
        <f t="shared" si="39"/>
        <v>174.12</v>
      </c>
      <c r="T47" s="61">
        <f>174.12*'Tableau de bord'!$H$4/$S$23</f>
        <v>174.12</v>
      </c>
      <c r="U47" s="57"/>
      <c r="V47" s="60">
        <f t="shared" si="40"/>
        <v>0</v>
      </c>
      <c r="W47" s="61">
        <f>0*'Tableau de bord'!$H$4/$V$23</f>
        <v>0</v>
      </c>
      <c r="X47" s="57"/>
      <c r="Y47" s="60">
        <f t="shared" si="41"/>
        <v>0</v>
      </c>
      <c r="Z47" s="61">
        <f>0*'Tableau de bord'!$H$4/$V$23</f>
        <v>0</v>
      </c>
      <c r="AA47" s="57"/>
      <c r="AB47" s="60">
        <f t="shared" si="42"/>
        <v>0</v>
      </c>
      <c r="AC47" s="61">
        <f>0*'Tableau de bord'!$H$4/$G$23</f>
        <v>0</v>
      </c>
      <c r="AD47" s="57"/>
      <c r="AE47" s="60">
        <f t="shared" si="43"/>
        <v>25.47</v>
      </c>
      <c r="AF47" s="61">
        <f>25.47*'Tableau de bord'!$H$4/$AE$23</f>
        <v>25.47</v>
      </c>
      <c r="AG47" s="57"/>
      <c r="AH47" s="60">
        <f>IF(ISBLANK(AJ47),AI47,AJ47)</f>
        <v>0</v>
      </c>
      <c r="AI47" s="61">
        <f>0*'Tableau de bord'!$H$4/$AH$23</f>
        <v>0</v>
      </c>
      <c r="AJ47" s="57"/>
      <c r="AK47" s="60">
        <f t="shared" si="45"/>
        <v>36.270000000000003</v>
      </c>
      <c r="AL47" s="61">
        <f>36.27*'Tableau de bord'!$H$4/$AK$23</f>
        <v>36.270000000000003</v>
      </c>
      <c r="AM47" s="57"/>
      <c r="AN47" s="60">
        <f t="shared" si="46"/>
        <v>47.87</v>
      </c>
      <c r="AO47" s="61">
        <f>47.87*'Tableau de bord'!$H$4/$AN$23</f>
        <v>47.87</v>
      </c>
      <c r="AP47" s="57"/>
    </row>
    <row r="48" spans="1:110" ht="20.100000000000001" customHeight="1" x14ac:dyDescent="0.2">
      <c r="A48" s="46">
        <f t="shared" si="0"/>
        <v>29</v>
      </c>
      <c r="B48" s="117" t="s">
        <v>195</v>
      </c>
      <c r="C48" s="57"/>
      <c r="D48" s="57"/>
      <c r="E48" s="57"/>
      <c r="F48" s="57"/>
      <c r="G48" s="60">
        <f t="shared" si="35"/>
        <v>0</v>
      </c>
      <c r="H48" s="61">
        <f>0*'Tableau de bord'!$H$4/$G$23</f>
        <v>0</v>
      </c>
      <c r="I48" s="57"/>
      <c r="J48" s="60">
        <f t="shared" si="36"/>
        <v>30.57</v>
      </c>
      <c r="K48" s="61">
        <f>30.57*'Tableau de bord'!$H$4/$J$23</f>
        <v>30.57</v>
      </c>
      <c r="L48" s="57"/>
      <c r="M48" s="60">
        <f t="shared" si="37"/>
        <v>13.440000000000001</v>
      </c>
      <c r="N48" s="61">
        <f>13.44*'Tableau de bord'!$H$4/$M$23</f>
        <v>13.440000000000001</v>
      </c>
      <c r="O48" s="63"/>
      <c r="P48" s="60">
        <f t="shared" si="38"/>
        <v>0</v>
      </c>
      <c r="Q48" s="61">
        <f>0*'Tableau de bord'!$H$4/$P$23</f>
        <v>0</v>
      </c>
      <c r="R48" s="57"/>
      <c r="S48" s="60">
        <f t="shared" si="39"/>
        <v>40.04</v>
      </c>
      <c r="T48" s="61">
        <f>40.04*'Tableau de bord'!$H$4/$S$23</f>
        <v>40.04</v>
      </c>
      <c r="U48" s="57"/>
      <c r="V48" s="60">
        <f t="shared" si="40"/>
        <v>0</v>
      </c>
      <c r="W48" s="61">
        <f>0*'Tableau de bord'!$H$4/$V$23</f>
        <v>0</v>
      </c>
      <c r="X48" s="57"/>
      <c r="Y48" s="60">
        <f t="shared" si="41"/>
        <v>0</v>
      </c>
      <c r="Z48" s="61">
        <f>0*'Tableau de bord'!$H$4/$V$23</f>
        <v>0</v>
      </c>
      <c r="AA48" s="57"/>
      <c r="AB48" s="60">
        <f t="shared" si="42"/>
        <v>4</v>
      </c>
      <c r="AC48" s="61">
        <f>4*'Tableau de bord'!$H$4/$G$23</f>
        <v>4</v>
      </c>
      <c r="AD48" s="57"/>
      <c r="AE48" s="60">
        <f t="shared" si="43"/>
        <v>21.09</v>
      </c>
      <c r="AF48" s="61">
        <f>21.09*'Tableau de bord'!$H$4/$AE$23</f>
        <v>21.09</v>
      </c>
      <c r="AG48" s="57"/>
      <c r="AH48" s="60">
        <f t="shared" si="44"/>
        <v>21.1</v>
      </c>
      <c r="AI48" s="61">
        <f>21.1*'Tableau de bord'!$H$4/$AH$23</f>
        <v>21.1</v>
      </c>
      <c r="AJ48" s="57"/>
      <c r="AK48" s="60">
        <f t="shared" si="45"/>
        <v>22.1</v>
      </c>
      <c r="AL48" s="61">
        <f>22.1*'Tableau de bord'!$H$4/$AK$23</f>
        <v>22.1</v>
      </c>
      <c r="AM48" s="57"/>
      <c r="AN48" s="60">
        <f t="shared" si="46"/>
        <v>29.170000000000005</v>
      </c>
      <c r="AO48" s="61">
        <f>29.17*'Tableau de bord'!$H$4/$AN$23</f>
        <v>29.170000000000005</v>
      </c>
      <c r="AP48" s="57"/>
    </row>
    <row r="49" spans="1:110" ht="20.100000000000001" customHeight="1" x14ac:dyDescent="0.2">
      <c r="A49" s="46">
        <f t="shared" si="0"/>
        <v>30</v>
      </c>
      <c r="B49" s="117" t="s">
        <v>196</v>
      </c>
      <c r="C49" s="403"/>
      <c r="D49" s="57"/>
      <c r="E49" s="57"/>
      <c r="F49" s="57"/>
      <c r="G49" s="60">
        <f t="shared" si="35"/>
        <v>110.56</v>
      </c>
      <c r="H49" s="61">
        <f>110.56*'Tableau de bord'!$H$4/$G$23</f>
        <v>110.56</v>
      </c>
      <c r="I49" s="57"/>
      <c r="J49" s="60">
        <f t="shared" si="36"/>
        <v>21.47</v>
      </c>
      <c r="K49" s="61">
        <f>(21.47)*'Tableau de bord'!$H$4/$J$23</f>
        <v>21.47</v>
      </c>
      <c r="L49" s="57"/>
      <c r="M49" s="60">
        <f t="shared" si="37"/>
        <v>0</v>
      </c>
      <c r="N49" s="61">
        <f>0*'Tableau de bord'!$H$4/$M$23</f>
        <v>0</v>
      </c>
      <c r="O49" s="63"/>
      <c r="P49" s="60">
        <f t="shared" si="38"/>
        <v>0</v>
      </c>
      <c r="Q49" s="61">
        <f>0*'Tableau de bord'!$H$4/$P$23</f>
        <v>0</v>
      </c>
      <c r="R49" s="57"/>
      <c r="S49" s="60">
        <f t="shared" si="39"/>
        <v>0</v>
      </c>
      <c r="T49" s="61">
        <f>0*'Tableau de bord'!$H$4/$S$23</f>
        <v>0</v>
      </c>
      <c r="U49" s="57"/>
      <c r="V49" s="60">
        <f t="shared" si="40"/>
        <v>0</v>
      </c>
      <c r="W49" s="61">
        <f>(0)*'Tableau de bord'!$H$4/$V$23</f>
        <v>0</v>
      </c>
      <c r="X49" s="57"/>
      <c r="Y49" s="60">
        <f t="shared" si="41"/>
        <v>0</v>
      </c>
      <c r="Z49" s="61">
        <f>(0)*'Tableau de bord'!$H$4/$V$23</f>
        <v>0</v>
      </c>
      <c r="AA49" s="57"/>
      <c r="AB49" s="60">
        <f t="shared" si="42"/>
        <v>0</v>
      </c>
      <c r="AC49" s="61">
        <f>0*'Tableau de bord'!$H$4/$G$23</f>
        <v>0</v>
      </c>
      <c r="AD49" s="57"/>
      <c r="AE49" s="60">
        <f t="shared" si="43"/>
        <v>0</v>
      </c>
      <c r="AF49" s="61">
        <f>0*'Tableau de bord'!$H$4/$AE$23</f>
        <v>0</v>
      </c>
      <c r="AG49" s="57"/>
      <c r="AH49" s="60">
        <f t="shared" si="44"/>
        <v>13.77</v>
      </c>
      <c r="AI49" s="61">
        <f>13.77*'Tableau de bord'!$H$4/$AH$23</f>
        <v>13.77</v>
      </c>
      <c r="AJ49" s="57"/>
      <c r="AK49" s="60">
        <f t="shared" si="45"/>
        <v>0</v>
      </c>
      <c r="AL49" s="61">
        <f>0*'Tableau de bord'!$H$4/$AK$23</f>
        <v>0</v>
      </c>
      <c r="AM49" s="57"/>
      <c r="AN49" s="60">
        <f t="shared" si="46"/>
        <v>0</v>
      </c>
      <c r="AO49" s="61">
        <f>0*'Tableau de bord'!$H$4/$AN$23</f>
        <v>0</v>
      </c>
      <c r="AP49" s="57"/>
    </row>
    <row r="50" spans="1:110" s="70" customFormat="1" ht="20.100000000000001" customHeight="1" x14ac:dyDescent="0.2">
      <c r="A50" s="46">
        <f t="shared" si="0"/>
        <v>31</v>
      </c>
      <c r="B50" s="120" t="s">
        <v>197</v>
      </c>
      <c r="C50" s="67">
        <f>SUM(C40:C49)</f>
        <v>0</v>
      </c>
      <c r="D50" s="67">
        <f>SUM(D40:D49)</f>
        <v>0</v>
      </c>
      <c r="E50" s="67">
        <f>SUM(E40:E49)</f>
        <v>0</v>
      </c>
      <c r="F50" s="67">
        <f>SUM(F40:F49)</f>
        <v>0</v>
      </c>
      <c r="G50" s="67">
        <f>SUM(G40:G49)</f>
        <v>2229.92</v>
      </c>
      <c r="H50" s="67"/>
      <c r="I50" s="67"/>
      <c r="J50" s="67">
        <f>SUM(J40:J49)</f>
        <v>241.84</v>
      </c>
      <c r="K50" s="67"/>
      <c r="L50" s="67"/>
      <c r="M50" s="67">
        <f>SUM(M40:M49)</f>
        <v>188.17000000000002</v>
      </c>
      <c r="N50" s="67"/>
      <c r="O50" s="67"/>
      <c r="P50" s="67">
        <f>SUM(P40:P49)</f>
        <v>187.89000000000001</v>
      </c>
      <c r="Q50" s="67"/>
      <c r="R50" s="67"/>
      <c r="S50" s="67">
        <f>SUM(S40:S49)</f>
        <v>457.01000000000005</v>
      </c>
      <c r="T50" s="67"/>
      <c r="U50" s="67"/>
      <c r="V50" s="67">
        <f>SUM(V40:V49)</f>
        <v>286.45776478232619</v>
      </c>
      <c r="W50" s="67"/>
      <c r="X50" s="67"/>
      <c r="Y50" s="67">
        <f>SUM(Y40:Y49)</f>
        <v>166.5</v>
      </c>
      <c r="Z50" s="67"/>
      <c r="AA50" s="67"/>
      <c r="AB50" s="67">
        <f>SUM(AB40:AB49)</f>
        <v>45</v>
      </c>
      <c r="AC50" s="67"/>
      <c r="AD50" s="67"/>
      <c r="AE50" s="67">
        <f>SUM(AE40:AE49)</f>
        <v>176.91</v>
      </c>
      <c r="AF50" s="67"/>
      <c r="AG50" s="67"/>
      <c r="AH50" s="67">
        <f>SUM(AH40:AH49)</f>
        <v>251.68</v>
      </c>
      <c r="AI50" s="67"/>
      <c r="AJ50" s="67"/>
      <c r="AK50" s="67">
        <f>SUM(AK40:AK49)</f>
        <v>244.7</v>
      </c>
      <c r="AL50" s="67"/>
      <c r="AM50" s="67"/>
      <c r="AN50" s="67">
        <f>SUM(AN40:AN49)</f>
        <v>243.32000000000002</v>
      </c>
      <c r="AO50" s="67"/>
      <c r="AP50" s="67"/>
      <c r="AQ50" s="46"/>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row>
    <row r="51" spans="1:110" s="70" customFormat="1" ht="20.100000000000001" customHeight="1" x14ac:dyDescent="0.2">
      <c r="A51" s="46">
        <f t="shared" si="0"/>
        <v>32</v>
      </c>
      <c r="B51" s="118" t="s">
        <v>198</v>
      </c>
      <c r="C51" s="69">
        <f>SUM(C38,C50)</f>
        <v>0</v>
      </c>
      <c r="D51" s="69">
        <f>SUM(D38,D50)</f>
        <v>0</v>
      </c>
      <c r="E51" s="69">
        <f>SUM(E38,E50)</f>
        <v>0</v>
      </c>
      <c r="F51" s="69">
        <f>SUM(F38,F50)</f>
        <v>0</v>
      </c>
      <c r="G51" s="69">
        <f>SUM(G38,G50)</f>
        <v>4207.41</v>
      </c>
      <c r="H51" s="69"/>
      <c r="I51" s="69"/>
      <c r="J51" s="69">
        <f>SUM(J38,J50)</f>
        <v>409.82</v>
      </c>
      <c r="K51" s="69"/>
      <c r="L51" s="69"/>
      <c r="M51" s="69">
        <f>SUM(M38,M50)</f>
        <v>356.42419103313841</v>
      </c>
      <c r="N51" s="69"/>
      <c r="O51" s="69"/>
      <c r="P51" s="69">
        <f>SUM(P38,P50)</f>
        <v>444.88</v>
      </c>
      <c r="Q51" s="69"/>
      <c r="R51" s="69"/>
      <c r="S51" s="69">
        <f>SUM(S38,S50)</f>
        <v>846.73</v>
      </c>
      <c r="T51" s="69"/>
      <c r="U51" s="69"/>
      <c r="V51" s="69">
        <f>SUM(V38,V50)</f>
        <v>499.65776478232618</v>
      </c>
      <c r="W51" s="69"/>
      <c r="X51" s="69"/>
      <c r="Y51" s="69">
        <f>SUM(Y38,Y50)</f>
        <v>241</v>
      </c>
      <c r="Z51" s="69"/>
      <c r="AA51" s="69"/>
      <c r="AB51" s="69">
        <f>SUM(AB38,AB50)</f>
        <v>157</v>
      </c>
      <c r="AC51" s="69"/>
      <c r="AD51" s="69"/>
      <c r="AE51" s="69">
        <f>SUM(AE38,AE50)</f>
        <v>319.28999999999996</v>
      </c>
      <c r="AF51" s="69"/>
      <c r="AG51" s="69"/>
      <c r="AH51" s="69">
        <f>SUM(AH38,AH50)</f>
        <v>429.58000000000004</v>
      </c>
      <c r="AI51" s="69"/>
      <c r="AJ51" s="69"/>
      <c r="AK51" s="69">
        <f>SUM(AK38,AK50)</f>
        <v>496.7</v>
      </c>
      <c r="AL51" s="69"/>
      <c r="AM51" s="69"/>
      <c r="AN51" s="69">
        <f>SUM(AN38,AN50)</f>
        <v>534.97</v>
      </c>
      <c r="AO51" s="69"/>
      <c r="AP51" s="69"/>
      <c r="AQ51" s="46"/>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row>
    <row r="52" spans="1:110" ht="20.100000000000001" customHeight="1" x14ac:dyDescent="0.2">
      <c r="A52" s="46">
        <f t="shared" si="0"/>
        <v>33</v>
      </c>
      <c r="B52" s="121" t="s">
        <v>199</v>
      </c>
      <c r="C52" s="73">
        <f>SUM(C31-C51)</f>
        <v>0</v>
      </c>
      <c r="D52" s="73">
        <f>SUM(D31-D51)</f>
        <v>0</v>
      </c>
      <c r="E52" s="73">
        <f>SUM(E31-E51)</f>
        <v>0</v>
      </c>
      <c r="F52" s="73">
        <f>SUM(F31-F51)</f>
        <v>0</v>
      </c>
      <c r="G52" s="73">
        <f>SUM(G31-G51)</f>
        <v>1510.9900000000007</v>
      </c>
      <c r="H52" s="73"/>
      <c r="I52" s="73"/>
      <c r="J52" s="73">
        <f>SUM(J31-J51)</f>
        <v>215.78000000000003</v>
      </c>
      <c r="K52" s="73"/>
      <c r="L52" s="73"/>
      <c r="M52" s="73">
        <f>SUM(M31-M51)</f>
        <v>-185.03419103313843</v>
      </c>
      <c r="N52" s="73"/>
      <c r="O52" s="73"/>
      <c r="P52" s="73">
        <f>SUM(P31-P51)</f>
        <v>184.12</v>
      </c>
      <c r="Q52" s="73"/>
      <c r="R52" s="73"/>
      <c r="S52" s="73">
        <f>SUM(S31-S51)</f>
        <v>311.90499999999997</v>
      </c>
      <c r="T52" s="73"/>
      <c r="U52" s="73"/>
      <c r="V52" s="73">
        <f>SUM(V31-V51)</f>
        <v>-391.65776478232618</v>
      </c>
      <c r="W52" s="73"/>
      <c r="X52" s="73"/>
      <c r="Y52" s="73">
        <f>SUM(Y31-Y51)</f>
        <v>179</v>
      </c>
      <c r="Z52" s="73"/>
      <c r="AA52" s="73"/>
      <c r="AB52" s="73">
        <f>SUM(AB31-AB51)</f>
        <v>151.00000000000006</v>
      </c>
      <c r="AC52" s="73"/>
      <c r="AD52" s="73"/>
      <c r="AE52" s="73">
        <f>SUM(AE31-AE51)</f>
        <v>39.81</v>
      </c>
      <c r="AF52" s="73"/>
      <c r="AG52" s="73"/>
      <c r="AH52" s="73">
        <f>SUM(AH31-AH51)</f>
        <v>363.85249999999996</v>
      </c>
      <c r="AI52" s="73"/>
      <c r="AJ52" s="73"/>
      <c r="AK52" s="73">
        <f>SUM(AK31-AK51)</f>
        <v>92.199999999999989</v>
      </c>
      <c r="AL52" s="73"/>
      <c r="AM52" s="73"/>
      <c r="AN52" s="73">
        <f>SUM(AN31-AN51)</f>
        <v>285.08000000000004</v>
      </c>
      <c r="AO52" s="73"/>
      <c r="AP52" s="73"/>
    </row>
    <row r="53" spans="1:110" ht="20.100000000000001" customHeight="1" x14ac:dyDescent="0.2">
      <c r="A53" s="46">
        <f t="shared" si="0"/>
        <v>34</v>
      </c>
      <c r="B53" s="209" t="s">
        <v>200</v>
      </c>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row>
    <row r="54" spans="1:110" s="134" customFormat="1" ht="20.100000000000001" customHeight="1" x14ac:dyDescent="0.2">
      <c r="A54" s="46">
        <f t="shared" si="0"/>
        <v>35</v>
      </c>
      <c r="B54" s="117" t="s">
        <v>201</v>
      </c>
      <c r="C54" s="57"/>
      <c r="D54" s="57"/>
      <c r="E54" s="57"/>
      <c r="F54" s="57"/>
      <c r="G54" s="58">
        <f>IF(ISBLANK(I54),H54,I54)</f>
        <v>15</v>
      </c>
      <c r="H54" s="59">
        <v>15</v>
      </c>
      <c r="I54" s="52"/>
      <c r="J54" s="58">
        <f>IF(ISBLANK(L54),K54,L54)</f>
        <v>2</v>
      </c>
      <c r="K54" s="59">
        <v>2</v>
      </c>
      <c r="L54" s="52"/>
      <c r="M54" s="58">
        <f>IF(ISBLANK(O54),N54,O54)</f>
        <v>0</v>
      </c>
      <c r="N54" s="59">
        <v>0</v>
      </c>
      <c r="O54" s="52"/>
      <c r="P54" s="58">
        <f>IF(ISBLANK(R54),Q54,R54)</f>
        <v>4</v>
      </c>
      <c r="Q54" s="59">
        <v>4</v>
      </c>
      <c r="R54" s="52"/>
      <c r="S54" s="58">
        <f>IF(ISBLANK(U54),T54,U54)</f>
        <v>1</v>
      </c>
      <c r="T54" s="59">
        <v>1</v>
      </c>
      <c r="U54" s="52"/>
      <c r="V54" s="58">
        <f>IF(ISBLANK(X54),W54,X54)</f>
        <v>0</v>
      </c>
      <c r="W54" s="59">
        <v>0</v>
      </c>
      <c r="X54" s="52"/>
      <c r="Y54" s="58">
        <f>IF(ISBLANK(AA54),Z54,AA54)</f>
        <v>0</v>
      </c>
      <c r="Z54" s="59">
        <v>0</v>
      </c>
      <c r="AA54" s="52"/>
      <c r="AB54" s="58">
        <f>IF(ISBLANK(AD54),AC54,AD54)</f>
        <v>0</v>
      </c>
      <c r="AC54" s="59">
        <v>0</v>
      </c>
      <c r="AD54" s="52"/>
      <c r="AE54" s="58">
        <f>IF(ISBLANK(AG54),AF54,AG54)</f>
        <v>2</v>
      </c>
      <c r="AF54" s="59">
        <v>2</v>
      </c>
      <c r="AG54" s="52"/>
      <c r="AH54" s="58">
        <f>IF(ISBLANK(AJ54),AI54,AJ54)</f>
        <v>3</v>
      </c>
      <c r="AI54" s="59">
        <v>3</v>
      </c>
      <c r="AJ54" s="52"/>
      <c r="AK54" s="58">
        <f>IF(ISBLANK(AM54),AL54,AM54)</f>
        <v>2</v>
      </c>
      <c r="AL54" s="59">
        <v>2</v>
      </c>
      <c r="AM54" s="52"/>
      <c r="AN54" s="58">
        <f>IF(ISBLANK(AP54),AO54,AP54)</f>
        <v>1</v>
      </c>
      <c r="AO54" s="59">
        <v>1</v>
      </c>
      <c r="AP54" s="52"/>
      <c r="AQ54" s="46"/>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row>
    <row r="55" spans="1:110" s="134" customFormat="1" ht="20.100000000000001" customHeight="1" x14ac:dyDescent="0.2">
      <c r="A55" s="46"/>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46"/>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row>
    <row r="56" spans="1:110" s="54" customFormat="1" ht="20.100000000000001" customHeight="1" x14ac:dyDescent="0.2">
      <c r="A56" s="46"/>
      <c r="B56" s="202" t="s">
        <v>202</v>
      </c>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46"/>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row>
    <row r="57" spans="1:110" s="54" customFormat="1" ht="20.100000000000001" customHeight="1" x14ac:dyDescent="0.2">
      <c r="A57" s="46"/>
      <c r="B57" s="201" t="s">
        <v>203</v>
      </c>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46"/>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row>
    <row r="58" spans="1:110" s="54" customFormat="1" ht="20.100000000000001" hidden="1" customHeight="1" x14ac:dyDescent="0.2">
      <c r="A58" s="46"/>
      <c r="B58" s="202" t="s">
        <v>204</v>
      </c>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46"/>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row>
    <row r="59" spans="1:110" s="54" customFormat="1" ht="20.100000000000001" hidden="1" customHeight="1" x14ac:dyDescent="0.2">
      <c r="A59" s="46"/>
      <c r="B59" s="202" t="s">
        <v>205</v>
      </c>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46"/>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row>
    <row r="60" spans="1:110" s="54" customFormat="1" ht="20.100000000000001" hidden="1" customHeight="1" x14ac:dyDescent="0.2">
      <c r="A60" s="46"/>
      <c r="B60" s="202" t="s">
        <v>206</v>
      </c>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46"/>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row>
    <row r="61" spans="1:110" s="147" customFormat="1" ht="19.5" customHeight="1" x14ac:dyDescent="0.2"/>
    <row r="62" spans="1:110" s="5" customFormat="1" hidden="1" x14ac:dyDescent="0.2">
      <c r="A62" s="46"/>
      <c r="B62" s="74"/>
      <c r="C62" s="32"/>
      <c r="D62" s="32"/>
      <c r="E62" s="32"/>
      <c r="F62" s="32"/>
      <c r="G62" s="32"/>
      <c r="H62" s="32"/>
      <c r="I62" s="32"/>
      <c r="J62" s="32"/>
      <c r="K62" s="32"/>
      <c r="L62" s="32"/>
      <c r="M62" s="32"/>
      <c r="N62" s="32"/>
      <c r="O62" s="75"/>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46"/>
    </row>
    <row r="63" spans="1:110" s="5" customFormat="1" hidden="1" x14ac:dyDescent="0.2">
      <c r="A63" s="46"/>
      <c r="B63" s="74"/>
      <c r="C63" s="32"/>
      <c r="D63" s="32"/>
      <c r="E63" s="32"/>
      <c r="F63" s="32"/>
      <c r="G63" s="32"/>
      <c r="H63" s="32"/>
      <c r="I63" s="32"/>
      <c r="J63" s="32"/>
      <c r="K63" s="32"/>
      <c r="L63" s="32"/>
      <c r="M63" s="32"/>
      <c r="N63" s="32"/>
      <c r="O63" s="75"/>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46"/>
    </row>
    <row r="64" spans="1:110" s="5" customFormat="1" hidden="1" x14ac:dyDescent="0.2">
      <c r="A64" s="46"/>
      <c r="B64" s="74"/>
      <c r="C64" s="32"/>
      <c r="D64" s="32"/>
      <c r="E64" s="32"/>
      <c r="F64" s="32"/>
      <c r="G64" s="32"/>
      <c r="H64" s="32"/>
      <c r="I64" s="32"/>
      <c r="J64" s="32"/>
      <c r="K64" s="32"/>
      <c r="L64" s="32"/>
      <c r="M64" s="32"/>
      <c r="N64" s="32"/>
      <c r="O64" s="75"/>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46"/>
    </row>
    <row r="65" spans="1:43" s="5" customFormat="1" hidden="1" x14ac:dyDescent="0.2">
      <c r="A65" s="46"/>
      <c r="B65" s="74"/>
      <c r="C65" s="32"/>
      <c r="D65" s="32"/>
      <c r="E65" s="32"/>
      <c r="F65" s="32"/>
      <c r="G65" s="32"/>
      <c r="H65" s="32"/>
      <c r="I65" s="32"/>
      <c r="J65" s="32"/>
      <c r="K65" s="32"/>
      <c r="L65" s="32"/>
      <c r="M65" s="32"/>
      <c r="N65" s="32"/>
      <c r="O65" s="75"/>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46"/>
    </row>
    <row r="66" spans="1:43" s="5" customFormat="1" hidden="1" x14ac:dyDescent="0.2">
      <c r="A66" s="46"/>
      <c r="B66" s="74"/>
      <c r="C66" s="32"/>
      <c r="D66" s="32"/>
      <c r="E66" s="32"/>
      <c r="F66" s="32"/>
      <c r="G66" s="32"/>
      <c r="H66" s="32"/>
      <c r="I66" s="32"/>
      <c r="J66" s="32"/>
      <c r="K66" s="32"/>
      <c r="L66" s="32"/>
      <c r="M66" s="32"/>
      <c r="N66" s="32"/>
      <c r="O66" s="75"/>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46"/>
    </row>
    <row r="67" spans="1:43" s="5" customFormat="1" hidden="1" x14ac:dyDescent="0.2">
      <c r="A67" s="46"/>
      <c r="B67" s="74"/>
      <c r="C67" s="32"/>
      <c r="D67" s="32"/>
      <c r="E67" s="32"/>
      <c r="F67" s="32"/>
      <c r="G67" s="32"/>
      <c r="H67" s="32"/>
      <c r="I67" s="32"/>
      <c r="J67" s="32"/>
      <c r="K67" s="32"/>
      <c r="L67" s="32"/>
      <c r="M67" s="32"/>
      <c r="N67" s="32"/>
      <c r="O67" s="75"/>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46"/>
    </row>
    <row r="68" spans="1:43" s="5" customFormat="1" hidden="1" x14ac:dyDescent="0.2">
      <c r="A68" s="46"/>
      <c r="B68" s="74"/>
      <c r="C68" s="32"/>
      <c r="D68" s="32"/>
      <c r="E68" s="32"/>
      <c r="F68" s="32"/>
      <c r="G68" s="32"/>
      <c r="H68" s="32"/>
      <c r="I68" s="32"/>
      <c r="J68" s="32"/>
      <c r="K68" s="32"/>
      <c r="L68" s="32"/>
      <c r="M68" s="32"/>
      <c r="N68" s="32"/>
      <c r="O68" s="75"/>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46"/>
    </row>
    <row r="69" spans="1:43" s="5" customFormat="1" hidden="1" x14ac:dyDescent="0.2">
      <c r="A69" s="46"/>
      <c r="B69" s="74"/>
      <c r="C69" s="32"/>
      <c r="D69" s="32"/>
      <c r="E69" s="32"/>
      <c r="F69" s="32"/>
      <c r="G69" s="32"/>
      <c r="H69" s="32"/>
      <c r="I69" s="32"/>
      <c r="J69" s="32"/>
      <c r="K69" s="32"/>
      <c r="L69" s="32"/>
      <c r="M69" s="32"/>
      <c r="N69" s="32"/>
      <c r="O69" s="75"/>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46"/>
    </row>
    <row r="70" spans="1:43" s="5" customFormat="1" hidden="1" x14ac:dyDescent="0.2">
      <c r="A70" s="46"/>
      <c r="B70" s="74"/>
      <c r="C70" s="32"/>
      <c r="D70" s="32"/>
      <c r="E70" s="32"/>
      <c r="F70" s="32"/>
      <c r="G70" s="32"/>
      <c r="H70" s="32"/>
      <c r="I70" s="32"/>
      <c r="J70" s="32"/>
      <c r="K70" s="32"/>
      <c r="L70" s="32"/>
      <c r="M70" s="32"/>
      <c r="N70" s="32"/>
      <c r="O70" s="75"/>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46"/>
    </row>
    <row r="71" spans="1:43" s="5" customFormat="1" hidden="1" x14ac:dyDescent="0.2">
      <c r="A71" s="46"/>
      <c r="B71" s="74"/>
      <c r="C71" s="32"/>
      <c r="D71" s="32"/>
      <c r="E71" s="32"/>
      <c r="F71" s="32"/>
      <c r="G71" s="32"/>
      <c r="H71" s="32"/>
      <c r="I71" s="32"/>
      <c r="J71" s="32"/>
      <c r="K71" s="32"/>
      <c r="L71" s="32"/>
      <c r="M71" s="32"/>
      <c r="N71" s="32"/>
      <c r="O71" s="75"/>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46"/>
    </row>
    <row r="72" spans="1:43" s="5" customFormat="1" hidden="1" x14ac:dyDescent="0.2">
      <c r="A72" s="46"/>
      <c r="B72" s="74"/>
      <c r="C72" s="32"/>
      <c r="D72" s="32"/>
      <c r="E72" s="32"/>
      <c r="F72" s="32"/>
      <c r="G72" s="32"/>
      <c r="H72" s="32"/>
      <c r="I72" s="32"/>
      <c r="J72" s="32"/>
      <c r="K72" s="32"/>
      <c r="L72" s="32"/>
      <c r="M72" s="32"/>
      <c r="N72" s="32"/>
      <c r="O72" s="75"/>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46"/>
    </row>
    <row r="73" spans="1:43" s="5" customFormat="1" hidden="1" x14ac:dyDescent="0.2">
      <c r="A73" s="46"/>
      <c r="B73" s="74"/>
      <c r="C73" s="32"/>
      <c r="D73" s="32"/>
      <c r="E73" s="32"/>
      <c r="F73" s="32"/>
      <c r="G73" s="32"/>
      <c r="H73" s="32"/>
      <c r="I73" s="32"/>
      <c r="J73" s="32"/>
      <c r="K73" s="32"/>
      <c r="L73" s="32"/>
      <c r="M73" s="32"/>
      <c r="N73" s="32"/>
      <c r="O73" s="75"/>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46"/>
    </row>
    <row r="74" spans="1:43" s="5" customFormat="1" hidden="1" x14ac:dyDescent="0.2">
      <c r="A74" s="46"/>
      <c r="B74" s="74"/>
      <c r="C74" s="32"/>
      <c r="D74" s="32"/>
      <c r="E74" s="32"/>
      <c r="F74" s="32"/>
      <c r="G74" s="32"/>
      <c r="H74" s="32"/>
      <c r="I74" s="32"/>
      <c r="J74" s="32"/>
      <c r="K74" s="32"/>
      <c r="L74" s="32"/>
      <c r="M74" s="32"/>
      <c r="N74" s="32"/>
      <c r="O74" s="75"/>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46"/>
    </row>
    <row r="75" spans="1:43" s="5" customFormat="1" hidden="1" x14ac:dyDescent="0.2">
      <c r="A75" s="46"/>
      <c r="B75" s="74"/>
      <c r="C75" s="32"/>
      <c r="D75" s="32"/>
      <c r="E75" s="32"/>
      <c r="F75" s="32"/>
      <c r="G75" s="32"/>
      <c r="H75" s="32"/>
      <c r="I75" s="32"/>
      <c r="J75" s="32"/>
      <c r="K75" s="32"/>
      <c r="L75" s="32"/>
      <c r="M75" s="32"/>
      <c r="N75" s="32"/>
      <c r="O75" s="75"/>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46"/>
    </row>
    <row r="76" spans="1:43" s="5" customFormat="1" hidden="1" x14ac:dyDescent="0.2">
      <c r="A76" s="46"/>
      <c r="B76" s="74"/>
      <c r="C76" s="32"/>
      <c r="D76" s="32"/>
      <c r="E76" s="32"/>
      <c r="F76" s="32"/>
      <c r="G76" s="32"/>
      <c r="H76" s="32"/>
      <c r="I76" s="32"/>
      <c r="J76" s="32"/>
      <c r="K76" s="32"/>
      <c r="L76" s="32"/>
      <c r="M76" s="32"/>
      <c r="N76" s="32"/>
      <c r="O76" s="75"/>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46"/>
    </row>
    <row r="77" spans="1:43" s="5" customFormat="1" hidden="1" x14ac:dyDescent="0.2">
      <c r="A77" s="46"/>
      <c r="B77" s="74"/>
      <c r="C77" s="32"/>
      <c r="D77" s="32"/>
      <c r="E77" s="32"/>
      <c r="F77" s="32"/>
      <c r="G77" s="32"/>
      <c r="H77" s="32"/>
      <c r="I77" s="32"/>
      <c r="J77" s="32"/>
      <c r="K77" s="32"/>
      <c r="L77" s="32"/>
      <c r="M77" s="32"/>
      <c r="N77" s="32"/>
      <c r="O77" s="75"/>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46"/>
    </row>
    <row r="78" spans="1:43" s="5" customFormat="1" hidden="1" x14ac:dyDescent="0.2">
      <c r="A78" s="46"/>
      <c r="B78" s="74"/>
      <c r="C78" s="32"/>
      <c r="D78" s="32"/>
      <c r="E78" s="32"/>
      <c r="F78" s="32"/>
      <c r="G78" s="32"/>
      <c r="H78" s="32"/>
      <c r="I78" s="32"/>
      <c r="J78" s="32"/>
      <c r="K78" s="32"/>
      <c r="L78" s="32"/>
      <c r="M78" s="32"/>
      <c r="N78" s="32"/>
      <c r="O78" s="75"/>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46"/>
    </row>
    <row r="79" spans="1:43" s="5" customFormat="1" hidden="1" x14ac:dyDescent="0.2">
      <c r="A79" s="46"/>
      <c r="B79" s="74"/>
      <c r="C79" s="32"/>
      <c r="D79" s="32"/>
      <c r="E79" s="32"/>
      <c r="F79" s="32"/>
      <c r="G79" s="32"/>
      <c r="H79" s="32"/>
      <c r="I79" s="32"/>
      <c r="J79" s="32"/>
      <c r="K79" s="32"/>
      <c r="L79" s="32"/>
      <c r="M79" s="32"/>
      <c r="N79" s="32"/>
      <c r="O79" s="75"/>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46"/>
    </row>
    <row r="80" spans="1:43" s="5" customFormat="1" hidden="1" x14ac:dyDescent="0.2">
      <c r="A80" s="46"/>
      <c r="B80" s="74"/>
      <c r="C80" s="32"/>
      <c r="D80" s="32"/>
      <c r="E80" s="32"/>
      <c r="F80" s="32"/>
      <c r="G80" s="32"/>
      <c r="H80" s="32"/>
      <c r="I80" s="32"/>
      <c r="J80" s="32"/>
      <c r="K80" s="32"/>
      <c r="L80" s="32"/>
      <c r="M80" s="32"/>
      <c r="N80" s="32"/>
      <c r="O80" s="75"/>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46"/>
    </row>
    <row r="81" spans="1:43" s="5" customFormat="1" hidden="1" x14ac:dyDescent="0.2">
      <c r="A81" s="46"/>
      <c r="B81" s="74"/>
      <c r="C81" s="32"/>
      <c r="D81" s="32"/>
      <c r="E81" s="32"/>
      <c r="F81" s="32"/>
      <c r="G81" s="32"/>
      <c r="H81" s="32"/>
      <c r="I81" s="32"/>
      <c r="J81" s="32"/>
      <c r="K81" s="32"/>
      <c r="L81" s="32"/>
      <c r="M81" s="32"/>
      <c r="N81" s="32"/>
      <c r="O81" s="75"/>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46"/>
    </row>
    <row r="82" spans="1:43" s="5" customFormat="1" hidden="1" x14ac:dyDescent="0.2">
      <c r="A82" s="46"/>
      <c r="B82" s="74"/>
      <c r="C82" s="32"/>
      <c r="D82" s="32"/>
      <c r="E82" s="32"/>
      <c r="F82" s="32"/>
      <c r="G82" s="32"/>
      <c r="H82" s="32"/>
      <c r="I82" s="32"/>
      <c r="J82" s="32"/>
      <c r="K82" s="32"/>
      <c r="L82" s="32"/>
      <c r="M82" s="32"/>
      <c r="N82" s="32"/>
      <c r="O82" s="75"/>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46"/>
    </row>
    <row r="83" spans="1:43" s="5" customFormat="1" hidden="1" x14ac:dyDescent="0.2">
      <c r="A83" s="46"/>
      <c r="B83" s="74"/>
      <c r="C83" s="32"/>
      <c r="D83" s="32"/>
      <c r="E83" s="32"/>
      <c r="F83" s="32"/>
      <c r="G83" s="32"/>
      <c r="H83" s="32"/>
      <c r="I83" s="32"/>
      <c r="J83" s="32"/>
      <c r="K83" s="32"/>
      <c r="L83" s="32"/>
      <c r="M83" s="32"/>
      <c r="N83" s="32"/>
      <c r="O83" s="75"/>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46"/>
    </row>
    <row r="84" spans="1:43" s="5" customFormat="1" hidden="1" x14ac:dyDescent="0.2">
      <c r="A84" s="46"/>
      <c r="B84" s="74"/>
      <c r="C84" s="32"/>
      <c r="D84" s="32"/>
      <c r="E84" s="32"/>
      <c r="F84" s="32"/>
      <c r="G84" s="32"/>
      <c r="H84" s="32"/>
      <c r="I84" s="32"/>
      <c r="J84" s="32"/>
      <c r="K84" s="32"/>
      <c r="L84" s="32"/>
      <c r="M84" s="32"/>
      <c r="N84" s="32"/>
      <c r="O84" s="75"/>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46"/>
    </row>
    <row r="85" spans="1:43" s="5" customFormat="1" hidden="1" x14ac:dyDescent="0.2">
      <c r="A85" s="46"/>
      <c r="B85" s="74"/>
      <c r="C85" s="32"/>
      <c r="D85" s="32"/>
      <c r="E85" s="32"/>
      <c r="F85" s="32"/>
      <c r="G85" s="32"/>
      <c r="H85" s="32"/>
      <c r="I85" s="32"/>
      <c r="J85" s="32"/>
      <c r="K85" s="32"/>
      <c r="L85" s="32"/>
      <c r="M85" s="32"/>
      <c r="N85" s="32"/>
      <c r="O85" s="75"/>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46"/>
    </row>
    <row r="86" spans="1:43" s="5" customFormat="1" hidden="1" x14ac:dyDescent="0.2">
      <c r="A86" s="46"/>
      <c r="B86" s="74"/>
      <c r="C86" s="32"/>
      <c r="D86" s="32"/>
      <c r="E86" s="32"/>
      <c r="F86" s="32"/>
      <c r="G86" s="32"/>
      <c r="H86" s="32"/>
      <c r="I86" s="32"/>
      <c r="J86" s="32"/>
      <c r="K86" s="32"/>
      <c r="L86" s="32"/>
      <c r="M86" s="32"/>
      <c r="N86" s="32"/>
      <c r="O86" s="75"/>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46"/>
    </row>
    <row r="87" spans="1:43" s="5" customFormat="1" hidden="1" x14ac:dyDescent="0.2">
      <c r="A87" s="46"/>
      <c r="B87" s="74"/>
      <c r="C87" s="32"/>
      <c r="D87" s="32"/>
      <c r="E87" s="32"/>
      <c r="F87" s="32"/>
      <c r="G87" s="32"/>
      <c r="H87" s="32"/>
      <c r="I87" s="32"/>
      <c r="J87" s="32"/>
      <c r="K87" s="32"/>
      <c r="L87" s="32"/>
      <c r="M87" s="32"/>
      <c r="N87" s="32"/>
      <c r="O87" s="75"/>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46"/>
    </row>
    <row r="88" spans="1:43" s="5" customFormat="1" hidden="1" x14ac:dyDescent="0.2">
      <c r="A88" s="46"/>
      <c r="B88" s="74"/>
      <c r="C88" s="32"/>
      <c r="D88" s="32"/>
      <c r="E88" s="32"/>
      <c r="F88" s="32"/>
      <c r="G88" s="32"/>
      <c r="H88" s="32"/>
      <c r="I88" s="32"/>
      <c r="J88" s="32"/>
      <c r="K88" s="32"/>
      <c r="L88" s="32"/>
      <c r="M88" s="32"/>
      <c r="N88" s="32"/>
      <c r="O88" s="75"/>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46"/>
    </row>
    <row r="89" spans="1:43" s="5" customFormat="1" hidden="1" x14ac:dyDescent="0.2">
      <c r="A89" s="46"/>
      <c r="B89" s="74"/>
      <c r="C89" s="32"/>
      <c r="D89" s="32"/>
      <c r="E89" s="32"/>
      <c r="F89" s="32"/>
      <c r="G89" s="32"/>
      <c r="H89" s="32"/>
      <c r="I89" s="32"/>
      <c r="J89" s="32"/>
      <c r="K89" s="32"/>
      <c r="L89" s="32"/>
      <c r="M89" s="32"/>
      <c r="N89" s="32"/>
      <c r="O89" s="75"/>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46"/>
    </row>
    <row r="90" spans="1:43" s="5" customFormat="1" hidden="1" x14ac:dyDescent="0.2">
      <c r="A90" s="46"/>
      <c r="B90" s="74"/>
      <c r="C90" s="32"/>
      <c r="D90" s="32"/>
      <c r="E90" s="32"/>
      <c r="F90" s="32"/>
      <c r="G90" s="32"/>
      <c r="H90" s="32"/>
      <c r="I90" s="32"/>
      <c r="J90" s="32"/>
      <c r="K90" s="32"/>
      <c r="L90" s="32"/>
      <c r="M90" s="32"/>
      <c r="N90" s="32"/>
      <c r="O90" s="75"/>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46"/>
    </row>
    <row r="91" spans="1:43" s="5" customFormat="1" hidden="1" x14ac:dyDescent="0.2">
      <c r="A91" s="46"/>
      <c r="B91" s="74"/>
      <c r="C91" s="32"/>
      <c r="D91" s="32"/>
      <c r="E91" s="32"/>
      <c r="F91" s="32"/>
      <c r="G91" s="32"/>
      <c r="H91" s="32"/>
      <c r="I91" s="32"/>
      <c r="J91" s="32"/>
      <c r="K91" s="32"/>
      <c r="L91" s="32"/>
      <c r="M91" s="32"/>
      <c r="N91" s="32"/>
      <c r="O91" s="75"/>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46"/>
    </row>
    <row r="92" spans="1:43" s="5" customFormat="1" hidden="1" x14ac:dyDescent="0.2">
      <c r="A92" s="46"/>
      <c r="B92" s="74"/>
      <c r="C92" s="32"/>
      <c r="D92" s="32"/>
      <c r="E92" s="32"/>
      <c r="F92" s="32"/>
      <c r="G92" s="32"/>
      <c r="H92" s="32"/>
      <c r="I92" s="32"/>
      <c r="J92" s="32"/>
      <c r="K92" s="32"/>
      <c r="L92" s="32"/>
      <c r="M92" s="32"/>
      <c r="N92" s="32"/>
      <c r="O92" s="75"/>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46"/>
    </row>
    <row r="93" spans="1:43" s="5" customFormat="1" hidden="1" x14ac:dyDescent="0.2">
      <c r="A93" s="46"/>
      <c r="B93" s="74"/>
      <c r="C93" s="32"/>
      <c r="D93" s="32"/>
      <c r="E93" s="32"/>
      <c r="F93" s="32"/>
      <c r="G93" s="32"/>
      <c r="H93" s="32"/>
      <c r="I93" s="32"/>
      <c r="J93" s="32"/>
      <c r="K93" s="32"/>
      <c r="L93" s="32"/>
      <c r="M93" s="32"/>
      <c r="N93" s="32"/>
      <c r="O93" s="75"/>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46"/>
    </row>
    <row r="94" spans="1:43" s="5" customFormat="1" hidden="1" x14ac:dyDescent="0.2">
      <c r="A94" s="46"/>
      <c r="B94" s="74"/>
      <c r="C94" s="32"/>
      <c r="D94" s="32"/>
      <c r="E94" s="32"/>
      <c r="F94" s="32"/>
      <c r="G94" s="32"/>
      <c r="H94" s="32"/>
      <c r="I94" s="32"/>
      <c r="J94" s="32"/>
      <c r="K94" s="32"/>
      <c r="L94" s="32"/>
      <c r="M94" s="32"/>
      <c r="N94" s="32"/>
      <c r="O94" s="75"/>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46"/>
    </row>
    <row r="95" spans="1:43" s="5" customFormat="1" hidden="1" x14ac:dyDescent="0.2">
      <c r="A95" s="46"/>
      <c r="B95" s="74"/>
      <c r="C95" s="32"/>
      <c r="D95" s="32"/>
      <c r="E95" s="32"/>
      <c r="F95" s="32"/>
      <c r="G95" s="32"/>
      <c r="H95" s="32"/>
      <c r="I95" s="32"/>
      <c r="J95" s="32"/>
      <c r="K95" s="32"/>
      <c r="L95" s="32"/>
      <c r="M95" s="32"/>
      <c r="N95" s="32"/>
      <c r="O95" s="75"/>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46"/>
    </row>
    <row r="96" spans="1:43" s="5" customFormat="1" hidden="1" x14ac:dyDescent="0.2">
      <c r="A96" s="46"/>
      <c r="B96" s="74"/>
      <c r="C96" s="32"/>
      <c r="D96" s="32"/>
      <c r="E96" s="32"/>
      <c r="F96" s="32"/>
      <c r="G96" s="32"/>
      <c r="H96" s="32"/>
      <c r="I96" s="32"/>
      <c r="J96" s="32"/>
      <c r="K96" s="32"/>
      <c r="L96" s="32"/>
      <c r="M96" s="32"/>
      <c r="N96" s="32"/>
      <c r="O96" s="75"/>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46"/>
    </row>
    <row r="97" spans="1:43" s="5" customFormat="1" hidden="1" x14ac:dyDescent="0.2">
      <c r="A97" s="46"/>
      <c r="B97" s="74"/>
      <c r="C97" s="32"/>
      <c r="D97" s="32"/>
      <c r="E97" s="32"/>
      <c r="F97" s="32"/>
      <c r="G97" s="32"/>
      <c r="H97" s="32"/>
      <c r="I97" s="32"/>
      <c r="J97" s="32"/>
      <c r="K97" s="32"/>
      <c r="L97" s="32"/>
      <c r="M97" s="32"/>
      <c r="N97" s="32"/>
      <c r="O97" s="75"/>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46"/>
    </row>
    <row r="98" spans="1:43" s="5" customFormat="1" hidden="1" x14ac:dyDescent="0.2">
      <c r="A98" s="46"/>
      <c r="B98" s="74"/>
      <c r="C98" s="32"/>
      <c r="D98" s="32"/>
      <c r="E98" s="32"/>
      <c r="F98" s="32"/>
      <c r="G98" s="32"/>
      <c r="H98" s="32"/>
      <c r="I98" s="32"/>
      <c r="J98" s="32"/>
      <c r="K98" s="32"/>
      <c r="L98" s="32"/>
      <c r="M98" s="32"/>
      <c r="N98" s="32"/>
      <c r="O98" s="75"/>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46"/>
    </row>
    <row r="99" spans="1:43" s="5" customFormat="1" hidden="1" x14ac:dyDescent="0.2">
      <c r="A99" s="46"/>
      <c r="B99" s="74"/>
      <c r="C99" s="32"/>
      <c r="D99" s="32"/>
      <c r="E99" s="32"/>
      <c r="F99" s="32"/>
      <c r="G99" s="32"/>
      <c r="H99" s="32"/>
      <c r="I99" s="32"/>
      <c r="J99" s="32"/>
      <c r="K99" s="32"/>
      <c r="L99" s="32"/>
      <c r="M99" s="32"/>
      <c r="N99" s="32"/>
      <c r="O99" s="75"/>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46"/>
    </row>
    <row r="100" spans="1:43" s="5" customFormat="1" hidden="1" x14ac:dyDescent="0.2">
      <c r="A100" s="46"/>
      <c r="B100" s="74"/>
      <c r="C100" s="32"/>
      <c r="D100" s="32"/>
      <c r="E100" s="32"/>
      <c r="F100" s="32"/>
      <c r="G100" s="32"/>
      <c r="H100" s="32"/>
      <c r="I100" s="32"/>
      <c r="J100" s="32"/>
      <c r="K100" s="32"/>
      <c r="L100" s="32"/>
      <c r="M100" s="32"/>
      <c r="N100" s="32"/>
      <c r="O100" s="75"/>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46"/>
    </row>
    <row r="101" spans="1:43" s="5" customFormat="1" hidden="1" x14ac:dyDescent="0.2">
      <c r="A101" s="46"/>
      <c r="B101" s="74"/>
      <c r="C101" s="32"/>
      <c r="D101" s="32"/>
      <c r="E101" s="32"/>
      <c r="F101" s="32"/>
      <c r="G101" s="32"/>
      <c r="H101" s="32"/>
      <c r="I101" s="32"/>
      <c r="J101" s="32"/>
      <c r="K101" s="32"/>
      <c r="L101" s="32"/>
      <c r="M101" s="32"/>
      <c r="N101" s="32"/>
      <c r="O101" s="75"/>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46"/>
    </row>
    <row r="102" spans="1:43" s="5" customFormat="1" hidden="1" x14ac:dyDescent="0.2">
      <c r="A102" s="46"/>
      <c r="B102" s="74"/>
      <c r="C102" s="32"/>
      <c r="D102" s="32"/>
      <c r="E102" s="32"/>
      <c r="F102" s="32"/>
      <c r="G102" s="32"/>
      <c r="H102" s="32"/>
      <c r="I102" s="32"/>
      <c r="J102" s="32"/>
      <c r="K102" s="32"/>
      <c r="L102" s="32"/>
      <c r="M102" s="32"/>
      <c r="N102" s="32"/>
      <c r="O102" s="75"/>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46"/>
    </row>
    <row r="103" spans="1:43" s="5" customFormat="1" hidden="1" x14ac:dyDescent="0.2">
      <c r="A103" s="46"/>
      <c r="B103" s="74"/>
      <c r="C103" s="32"/>
      <c r="D103" s="32"/>
      <c r="E103" s="32"/>
      <c r="F103" s="32"/>
      <c r="G103" s="32"/>
      <c r="H103" s="32"/>
      <c r="I103" s="32"/>
      <c r="J103" s="32"/>
      <c r="K103" s="32"/>
      <c r="L103" s="32"/>
      <c r="M103" s="32"/>
      <c r="N103" s="32"/>
      <c r="O103" s="75"/>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46"/>
    </row>
    <row r="104" spans="1:43" s="5" customFormat="1" hidden="1" x14ac:dyDescent="0.2">
      <c r="A104" s="46"/>
      <c r="B104" s="74"/>
      <c r="C104" s="32"/>
      <c r="D104" s="32"/>
      <c r="E104" s="32"/>
      <c r="F104" s="32"/>
      <c r="G104" s="32"/>
      <c r="H104" s="32"/>
      <c r="I104" s="32"/>
      <c r="J104" s="32"/>
      <c r="K104" s="32"/>
      <c r="L104" s="32"/>
      <c r="M104" s="32"/>
      <c r="N104" s="32"/>
      <c r="O104" s="75"/>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46"/>
    </row>
    <row r="105" spans="1:43" s="5" customFormat="1" hidden="1" x14ac:dyDescent="0.2">
      <c r="A105" s="46"/>
      <c r="B105" s="74"/>
      <c r="C105" s="32"/>
      <c r="D105" s="32"/>
      <c r="E105" s="32"/>
      <c r="F105" s="32"/>
      <c r="G105" s="32"/>
      <c r="H105" s="32"/>
      <c r="I105" s="32"/>
      <c r="J105" s="32"/>
      <c r="K105" s="32"/>
      <c r="L105" s="32"/>
      <c r="M105" s="32"/>
      <c r="N105" s="32"/>
      <c r="O105" s="75"/>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46"/>
    </row>
    <row r="106" spans="1:43" s="5" customFormat="1" hidden="1" x14ac:dyDescent="0.2">
      <c r="A106" s="46"/>
      <c r="B106" s="74"/>
      <c r="C106" s="32"/>
      <c r="D106" s="32"/>
      <c r="E106" s="32"/>
      <c r="F106" s="32"/>
      <c r="G106" s="32"/>
      <c r="H106" s="32"/>
      <c r="I106" s="32"/>
      <c r="J106" s="32"/>
      <c r="K106" s="32"/>
      <c r="L106" s="32"/>
      <c r="M106" s="32"/>
      <c r="N106" s="32"/>
      <c r="O106" s="75"/>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46"/>
    </row>
    <row r="107" spans="1:43" s="5" customFormat="1" hidden="1" x14ac:dyDescent="0.2">
      <c r="A107" s="46"/>
      <c r="B107" s="74"/>
      <c r="C107" s="32"/>
      <c r="D107" s="32"/>
      <c r="E107" s="32"/>
      <c r="F107" s="32"/>
      <c r="G107" s="32"/>
      <c r="H107" s="32"/>
      <c r="I107" s="32"/>
      <c r="J107" s="32"/>
      <c r="K107" s="32"/>
      <c r="L107" s="32"/>
      <c r="M107" s="32"/>
      <c r="N107" s="32"/>
      <c r="O107" s="75"/>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46"/>
    </row>
    <row r="108" spans="1:43" s="5" customFormat="1" hidden="1" x14ac:dyDescent="0.2">
      <c r="A108" s="46"/>
      <c r="B108" s="74"/>
      <c r="C108" s="32"/>
      <c r="D108" s="32"/>
      <c r="E108" s="32"/>
      <c r="F108" s="32"/>
      <c r="G108" s="32"/>
      <c r="H108" s="32"/>
      <c r="I108" s="32"/>
      <c r="J108" s="32"/>
      <c r="K108" s="32"/>
      <c r="L108" s="32"/>
      <c r="M108" s="32"/>
      <c r="N108" s="32"/>
      <c r="O108" s="75"/>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46"/>
    </row>
    <row r="109" spans="1:43" s="5" customFormat="1" hidden="1" x14ac:dyDescent="0.2">
      <c r="A109" s="46"/>
      <c r="B109" s="76"/>
      <c r="AQ109" s="46"/>
    </row>
    <row r="110" spans="1:43" s="5" customFormat="1" hidden="1" x14ac:dyDescent="0.2">
      <c r="A110" s="46"/>
      <c r="B110" s="76"/>
      <c r="AQ110" s="46"/>
    </row>
    <row r="111" spans="1:43" s="5" customFormat="1" hidden="1" x14ac:dyDescent="0.2">
      <c r="A111" s="46"/>
      <c r="B111" s="76"/>
      <c r="AQ111" s="46"/>
    </row>
    <row r="112" spans="1:43" s="5" customFormat="1" hidden="1" x14ac:dyDescent="0.2">
      <c r="A112" s="46"/>
      <c r="B112" s="76"/>
      <c r="AQ112" s="46"/>
    </row>
    <row r="113" spans="1:43" s="5" customFormat="1" hidden="1" x14ac:dyDescent="0.2">
      <c r="A113" s="46"/>
      <c r="B113" s="76"/>
      <c r="AQ113" s="46"/>
    </row>
    <row r="114" spans="1:43" s="5" customFormat="1" hidden="1" x14ac:dyDescent="0.2">
      <c r="A114" s="46"/>
      <c r="B114" s="76"/>
      <c r="AQ114" s="46"/>
    </row>
    <row r="115" spans="1:43" s="5" customFormat="1" hidden="1" x14ac:dyDescent="0.2">
      <c r="A115" s="46"/>
      <c r="B115" s="76"/>
      <c r="AQ115" s="46"/>
    </row>
    <row r="116" spans="1:43" s="5" customFormat="1" hidden="1" x14ac:dyDescent="0.2">
      <c r="A116" s="46"/>
      <c r="B116" s="76"/>
      <c r="AQ116" s="46"/>
    </row>
    <row r="117" spans="1:43" s="5" customFormat="1" hidden="1" x14ac:dyDescent="0.2">
      <c r="A117" s="46"/>
      <c r="B117" s="76"/>
      <c r="AQ117" s="46"/>
    </row>
    <row r="118" spans="1:43" s="5" customFormat="1" hidden="1" x14ac:dyDescent="0.2">
      <c r="A118" s="46"/>
      <c r="B118" s="76"/>
      <c r="AQ118" s="46"/>
    </row>
    <row r="119" spans="1:43" s="5" customFormat="1" hidden="1" x14ac:dyDescent="0.2">
      <c r="A119" s="46"/>
      <c r="B119" s="76"/>
      <c r="AQ119" s="46"/>
    </row>
    <row r="120" spans="1:43" s="5" customFormat="1" hidden="1" x14ac:dyDescent="0.2">
      <c r="A120" s="46"/>
      <c r="B120" s="76"/>
      <c r="AQ120" s="46"/>
    </row>
    <row r="121" spans="1:43" s="5" customFormat="1" hidden="1" x14ac:dyDescent="0.2">
      <c r="A121" s="46"/>
      <c r="B121" s="76"/>
      <c r="AQ121" s="46"/>
    </row>
    <row r="122" spans="1:43" s="5" customFormat="1" hidden="1" x14ac:dyDescent="0.2">
      <c r="A122" s="46"/>
      <c r="B122" s="76"/>
      <c r="AQ122" s="46"/>
    </row>
    <row r="123" spans="1:43" s="5" customFormat="1" hidden="1" x14ac:dyDescent="0.2">
      <c r="A123" s="46"/>
      <c r="B123" s="76"/>
      <c r="AQ123" s="46"/>
    </row>
    <row r="124" spans="1:43" s="5" customFormat="1" hidden="1" x14ac:dyDescent="0.2">
      <c r="A124" s="46"/>
      <c r="B124" s="76"/>
      <c r="AQ124" s="46"/>
    </row>
    <row r="125" spans="1:43" s="5" customFormat="1" hidden="1" x14ac:dyDescent="0.2">
      <c r="A125" s="46"/>
      <c r="B125" s="76"/>
      <c r="AQ125" s="46"/>
    </row>
    <row r="126" spans="1:43" s="5" customFormat="1" hidden="1" x14ac:dyDescent="0.2">
      <c r="A126" s="46"/>
      <c r="B126" s="76"/>
      <c r="AQ126" s="46"/>
    </row>
    <row r="127" spans="1:43" s="5" customFormat="1" hidden="1" x14ac:dyDescent="0.2">
      <c r="A127" s="46"/>
      <c r="B127" s="76"/>
      <c r="AQ127" s="46"/>
    </row>
    <row r="128" spans="1:43" s="5" customFormat="1" hidden="1" x14ac:dyDescent="0.2">
      <c r="A128" s="46"/>
      <c r="B128" s="76"/>
      <c r="AQ128" s="46"/>
    </row>
    <row r="129" spans="1:43" s="5" customFormat="1" hidden="1" x14ac:dyDescent="0.2">
      <c r="A129" s="46"/>
      <c r="B129" s="76"/>
      <c r="AQ129" s="46"/>
    </row>
    <row r="130" spans="1:43" s="5" customFormat="1" hidden="1" x14ac:dyDescent="0.2">
      <c r="A130" s="46"/>
      <c r="B130" s="76"/>
      <c r="AQ130" s="46"/>
    </row>
    <row r="131" spans="1:43" s="5" customFormat="1" hidden="1" x14ac:dyDescent="0.2">
      <c r="A131" s="46"/>
      <c r="B131" s="76"/>
      <c r="AQ131" s="46"/>
    </row>
    <row r="132" spans="1:43" s="5" customFormat="1" hidden="1" x14ac:dyDescent="0.2">
      <c r="A132" s="46"/>
      <c r="B132" s="76"/>
      <c r="AQ132" s="46"/>
    </row>
    <row r="133" spans="1:43" s="5" customFormat="1" hidden="1" x14ac:dyDescent="0.2">
      <c r="A133" s="46"/>
      <c r="B133" s="76"/>
      <c r="AQ133" s="46"/>
    </row>
    <row r="134" spans="1:43" s="5" customFormat="1" hidden="1" x14ac:dyDescent="0.2">
      <c r="A134" s="46"/>
      <c r="B134" s="76"/>
      <c r="AQ134" s="46"/>
    </row>
    <row r="135" spans="1:43" s="5" customFormat="1" hidden="1" x14ac:dyDescent="0.2">
      <c r="A135" s="46"/>
      <c r="B135" s="76"/>
      <c r="AQ135" s="46"/>
    </row>
    <row r="136" spans="1:43" s="5" customFormat="1" hidden="1" x14ac:dyDescent="0.2">
      <c r="A136" s="46"/>
      <c r="B136" s="76"/>
      <c r="AQ136" s="46"/>
    </row>
    <row r="137" spans="1:43" s="5" customFormat="1" hidden="1" x14ac:dyDescent="0.2">
      <c r="A137" s="46"/>
      <c r="B137" s="76"/>
      <c r="AQ137" s="46"/>
    </row>
    <row r="138" spans="1:43" s="5" customFormat="1" hidden="1" x14ac:dyDescent="0.2">
      <c r="A138" s="46"/>
      <c r="B138" s="76"/>
      <c r="AQ138" s="46"/>
    </row>
    <row r="139" spans="1:43" s="5" customFormat="1" hidden="1" x14ac:dyDescent="0.2">
      <c r="A139" s="46"/>
      <c r="B139" s="76"/>
      <c r="AQ139" s="46"/>
    </row>
    <row r="140" spans="1:43" s="5" customFormat="1" hidden="1" x14ac:dyDescent="0.2">
      <c r="A140" s="46"/>
      <c r="B140" s="76"/>
      <c r="AQ140" s="46"/>
    </row>
    <row r="141" spans="1:43" s="5" customFormat="1" hidden="1" x14ac:dyDescent="0.2">
      <c r="A141" s="46"/>
      <c r="B141" s="76"/>
      <c r="AQ141" s="46"/>
    </row>
    <row r="142" spans="1:43" s="5" customFormat="1" hidden="1" x14ac:dyDescent="0.2">
      <c r="A142" s="46"/>
      <c r="B142" s="76"/>
      <c r="AQ142" s="46"/>
    </row>
    <row r="143" spans="1:43" s="5" customFormat="1" hidden="1" x14ac:dyDescent="0.2">
      <c r="A143" s="46"/>
      <c r="B143" s="76"/>
      <c r="AQ143" s="46"/>
    </row>
    <row r="144" spans="1:43" s="5" customFormat="1" hidden="1" x14ac:dyDescent="0.2">
      <c r="A144" s="46"/>
      <c r="B144" s="76"/>
      <c r="AQ144" s="46"/>
    </row>
    <row r="145" spans="1:43" s="5" customFormat="1" hidden="1" x14ac:dyDescent="0.2">
      <c r="A145" s="46"/>
      <c r="B145" s="76"/>
      <c r="AQ145" s="46"/>
    </row>
    <row r="146" spans="1:43" s="5" customFormat="1" hidden="1" x14ac:dyDescent="0.2">
      <c r="A146" s="46"/>
      <c r="B146" s="76"/>
      <c r="AQ146" s="46"/>
    </row>
    <row r="147" spans="1:43" s="5" customFormat="1" hidden="1" x14ac:dyDescent="0.2">
      <c r="A147" s="46"/>
      <c r="B147" s="76"/>
      <c r="AQ147" s="46"/>
    </row>
    <row r="148" spans="1:43" s="5" customFormat="1" hidden="1" x14ac:dyDescent="0.2">
      <c r="A148" s="46"/>
      <c r="B148" s="76"/>
      <c r="AQ148" s="46"/>
    </row>
    <row r="149" spans="1:43" s="5" customFormat="1" hidden="1" x14ac:dyDescent="0.2">
      <c r="A149" s="46"/>
      <c r="B149" s="76"/>
      <c r="AQ149" s="46"/>
    </row>
    <row r="150" spans="1:43" s="5" customFormat="1" hidden="1" x14ac:dyDescent="0.2">
      <c r="A150" s="46"/>
      <c r="B150" s="76"/>
      <c r="AQ150" s="46"/>
    </row>
    <row r="151" spans="1:43" s="5" customFormat="1" hidden="1" x14ac:dyDescent="0.2">
      <c r="A151" s="46"/>
      <c r="B151" s="76"/>
      <c r="AQ151" s="46"/>
    </row>
    <row r="152" spans="1:43" s="5" customFormat="1" hidden="1" x14ac:dyDescent="0.2">
      <c r="A152" s="46"/>
      <c r="B152" s="76"/>
      <c r="AQ152" s="46"/>
    </row>
    <row r="153" spans="1:43" s="5" customFormat="1" hidden="1" x14ac:dyDescent="0.2">
      <c r="A153" s="46"/>
      <c r="B153" s="76"/>
      <c r="AQ153" s="46"/>
    </row>
    <row r="154" spans="1:43" s="5" customFormat="1" hidden="1" x14ac:dyDescent="0.2">
      <c r="A154" s="46"/>
      <c r="B154" s="76"/>
      <c r="AQ154" s="46"/>
    </row>
    <row r="155" spans="1:43" s="5" customFormat="1" hidden="1" x14ac:dyDescent="0.2">
      <c r="A155" s="46"/>
      <c r="B155" s="76"/>
      <c r="AQ155" s="46"/>
    </row>
    <row r="156" spans="1:43" s="5" customFormat="1" hidden="1" x14ac:dyDescent="0.2">
      <c r="A156" s="46"/>
      <c r="B156" s="76"/>
      <c r="AQ156" s="46"/>
    </row>
    <row r="157" spans="1:43" s="5" customFormat="1" hidden="1" x14ac:dyDescent="0.2">
      <c r="A157" s="46"/>
      <c r="B157" s="76"/>
      <c r="AQ157" s="46"/>
    </row>
    <row r="158" spans="1:43" s="5" customFormat="1" hidden="1" x14ac:dyDescent="0.2">
      <c r="A158" s="46"/>
      <c r="B158" s="76"/>
      <c r="AQ158" s="46"/>
    </row>
    <row r="159" spans="1:43" s="5" customFormat="1" hidden="1" x14ac:dyDescent="0.2">
      <c r="A159" s="46"/>
      <c r="B159" s="76"/>
      <c r="AQ159" s="46"/>
    </row>
    <row r="160" spans="1:43" s="5" customFormat="1" hidden="1" x14ac:dyDescent="0.2">
      <c r="A160" s="46"/>
      <c r="B160" s="76"/>
      <c r="AQ160" s="46"/>
    </row>
    <row r="161" spans="1:43" s="5" customFormat="1" hidden="1" x14ac:dyDescent="0.2">
      <c r="A161" s="46"/>
      <c r="B161" s="76"/>
      <c r="AQ161" s="46"/>
    </row>
    <row r="162" spans="1:43" s="5" customFormat="1" hidden="1" x14ac:dyDescent="0.2">
      <c r="A162" s="46"/>
      <c r="B162" s="76"/>
      <c r="AQ162" s="46"/>
    </row>
    <row r="163" spans="1:43" s="5" customFormat="1" hidden="1" x14ac:dyDescent="0.2">
      <c r="A163" s="46"/>
      <c r="B163" s="76"/>
      <c r="AQ163" s="46"/>
    </row>
    <row r="164" spans="1:43" s="5" customFormat="1" hidden="1" x14ac:dyDescent="0.2">
      <c r="A164" s="46"/>
      <c r="B164" s="76"/>
      <c r="AQ164" s="46"/>
    </row>
    <row r="165" spans="1:43" s="5" customFormat="1" hidden="1" x14ac:dyDescent="0.2">
      <c r="A165" s="46"/>
      <c r="B165" s="76"/>
      <c r="AQ165" s="46"/>
    </row>
    <row r="166" spans="1:43" s="5" customFormat="1" hidden="1" x14ac:dyDescent="0.2">
      <c r="A166" s="46"/>
      <c r="B166" s="76"/>
      <c r="AQ166" s="46"/>
    </row>
    <row r="167" spans="1:43" s="5" customFormat="1" hidden="1" x14ac:dyDescent="0.2">
      <c r="A167" s="46"/>
      <c r="B167" s="76"/>
      <c r="AQ167" s="46"/>
    </row>
    <row r="168" spans="1:43" s="5" customFormat="1" hidden="1" x14ac:dyDescent="0.2">
      <c r="A168" s="46"/>
      <c r="B168" s="76"/>
      <c r="AQ168" s="46"/>
    </row>
    <row r="169" spans="1:43" s="5" customFormat="1" hidden="1" x14ac:dyDescent="0.2">
      <c r="A169" s="46"/>
      <c r="B169" s="76"/>
      <c r="AQ169" s="46"/>
    </row>
    <row r="170" spans="1:43" s="5" customFormat="1" hidden="1" x14ac:dyDescent="0.2">
      <c r="A170" s="46"/>
      <c r="B170" s="76"/>
      <c r="AQ170" s="46"/>
    </row>
    <row r="171" spans="1:43" s="5" customFormat="1" hidden="1" x14ac:dyDescent="0.2">
      <c r="A171" s="46"/>
      <c r="B171" s="76"/>
      <c r="AQ171" s="46"/>
    </row>
    <row r="172" spans="1:43" s="5" customFormat="1" hidden="1" x14ac:dyDescent="0.2">
      <c r="A172" s="46"/>
      <c r="B172" s="76"/>
      <c r="AQ172" s="46"/>
    </row>
    <row r="173" spans="1:43" s="5" customFormat="1" hidden="1" x14ac:dyDescent="0.2">
      <c r="A173" s="46"/>
      <c r="B173" s="76"/>
      <c r="AQ173" s="46"/>
    </row>
    <row r="174" spans="1:43" s="5" customFormat="1" hidden="1" x14ac:dyDescent="0.2">
      <c r="A174" s="46"/>
      <c r="B174" s="76"/>
      <c r="AQ174" s="46"/>
    </row>
    <row r="175" spans="1:43" s="5" customFormat="1" hidden="1" x14ac:dyDescent="0.2">
      <c r="A175" s="46"/>
      <c r="B175" s="76"/>
      <c r="AQ175" s="46"/>
    </row>
    <row r="176" spans="1:43" s="5" customFormat="1" hidden="1" x14ac:dyDescent="0.2">
      <c r="A176" s="46"/>
      <c r="B176" s="76"/>
      <c r="AQ176" s="46"/>
    </row>
    <row r="177" spans="1:43" s="5" customFormat="1" hidden="1" x14ac:dyDescent="0.2">
      <c r="A177" s="46"/>
      <c r="B177" s="76"/>
      <c r="AQ177" s="46"/>
    </row>
    <row r="178" spans="1:43" s="5" customFormat="1" hidden="1" x14ac:dyDescent="0.2">
      <c r="A178" s="46"/>
      <c r="B178" s="76"/>
      <c r="AQ178" s="46"/>
    </row>
    <row r="179" spans="1:43" s="5" customFormat="1" hidden="1" x14ac:dyDescent="0.2">
      <c r="A179" s="46"/>
      <c r="B179" s="76"/>
      <c r="AQ179" s="46"/>
    </row>
    <row r="180" spans="1:43" s="5" customFormat="1" hidden="1" x14ac:dyDescent="0.2">
      <c r="A180" s="46"/>
      <c r="B180" s="76"/>
      <c r="AQ180" s="46"/>
    </row>
    <row r="181" spans="1:43" s="5" customFormat="1" hidden="1" x14ac:dyDescent="0.2">
      <c r="A181" s="46"/>
      <c r="B181" s="76"/>
      <c r="AQ181" s="46"/>
    </row>
    <row r="182" spans="1:43" s="5" customFormat="1" hidden="1" x14ac:dyDescent="0.2">
      <c r="A182" s="46"/>
      <c r="B182" s="76"/>
      <c r="AQ182" s="46"/>
    </row>
    <row r="183" spans="1:43" s="5" customFormat="1" hidden="1" x14ac:dyDescent="0.2">
      <c r="A183" s="46"/>
      <c r="B183" s="76"/>
      <c r="AQ183" s="46"/>
    </row>
    <row r="184" spans="1:43" s="5" customFormat="1" hidden="1" x14ac:dyDescent="0.2">
      <c r="A184" s="46"/>
      <c r="B184" s="76"/>
      <c r="AQ184" s="46"/>
    </row>
    <row r="185" spans="1:43" s="5" customFormat="1" hidden="1" x14ac:dyDescent="0.2">
      <c r="A185" s="46"/>
      <c r="B185" s="76"/>
      <c r="AQ185" s="46"/>
    </row>
    <row r="186" spans="1:43" s="5" customFormat="1" hidden="1" x14ac:dyDescent="0.2">
      <c r="A186" s="46"/>
      <c r="B186" s="76"/>
      <c r="AQ186" s="46"/>
    </row>
    <row r="187" spans="1:43" s="5" customFormat="1" hidden="1" x14ac:dyDescent="0.2">
      <c r="A187" s="46"/>
      <c r="B187" s="76"/>
      <c r="AQ187" s="46"/>
    </row>
    <row r="188" spans="1:43" s="5" customFormat="1" hidden="1" x14ac:dyDescent="0.2">
      <c r="A188" s="46"/>
      <c r="B188" s="76"/>
      <c r="AQ188" s="46"/>
    </row>
    <row r="189" spans="1:43" s="5" customFormat="1" hidden="1" x14ac:dyDescent="0.2">
      <c r="A189" s="46"/>
      <c r="B189" s="76"/>
      <c r="AQ189" s="46"/>
    </row>
    <row r="190" spans="1:43" s="5" customFormat="1" hidden="1" x14ac:dyDescent="0.2">
      <c r="A190" s="46"/>
      <c r="B190" s="76"/>
      <c r="AQ190" s="46"/>
    </row>
    <row r="191" spans="1:43" s="5" customFormat="1" hidden="1" x14ac:dyDescent="0.2">
      <c r="A191" s="46"/>
      <c r="B191" s="76"/>
      <c r="AQ191" s="46"/>
    </row>
    <row r="192" spans="1:43" s="5" customFormat="1" hidden="1" x14ac:dyDescent="0.2">
      <c r="A192" s="46"/>
      <c r="B192" s="76"/>
      <c r="AQ192" s="46"/>
    </row>
    <row r="193" spans="1:43" s="5" customFormat="1" hidden="1" x14ac:dyDescent="0.2">
      <c r="A193" s="46"/>
      <c r="B193" s="76"/>
      <c r="AQ193" s="46"/>
    </row>
    <row r="194" spans="1:43" s="5" customFormat="1" hidden="1" x14ac:dyDescent="0.2">
      <c r="A194" s="46"/>
      <c r="B194" s="76"/>
      <c r="AQ194" s="46"/>
    </row>
    <row r="195" spans="1:43" s="5" customFormat="1" hidden="1" x14ac:dyDescent="0.2">
      <c r="A195" s="46"/>
      <c r="B195" s="76"/>
      <c r="AQ195" s="46"/>
    </row>
    <row r="196" spans="1:43" s="5" customFormat="1" hidden="1" x14ac:dyDescent="0.2">
      <c r="A196" s="46"/>
      <c r="B196" s="76"/>
      <c r="AQ196" s="46"/>
    </row>
    <row r="197" spans="1:43" s="5" customFormat="1" hidden="1" x14ac:dyDescent="0.2">
      <c r="A197" s="46"/>
      <c r="B197" s="76"/>
      <c r="AQ197" s="46"/>
    </row>
    <row r="198" spans="1:43" s="5" customFormat="1" hidden="1" x14ac:dyDescent="0.2">
      <c r="A198" s="46"/>
      <c r="B198" s="76"/>
      <c r="AQ198" s="46"/>
    </row>
    <row r="199" spans="1:43" s="5" customFormat="1" hidden="1" x14ac:dyDescent="0.2">
      <c r="A199" s="46"/>
      <c r="B199" s="76"/>
      <c r="AQ199" s="46"/>
    </row>
    <row r="200" spans="1:43" s="5" customFormat="1" hidden="1" x14ac:dyDescent="0.2">
      <c r="A200" s="46"/>
      <c r="B200" s="76"/>
      <c r="AQ200" s="46"/>
    </row>
    <row r="201" spans="1:43" s="5" customFormat="1" hidden="1" x14ac:dyDescent="0.2">
      <c r="A201" s="46"/>
      <c r="B201" s="76"/>
      <c r="AQ201" s="46"/>
    </row>
    <row r="202" spans="1:43" s="5" customFormat="1" hidden="1" x14ac:dyDescent="0.2">
      <c r="A202" s="46"/>
      <c r="B202" s="76"/>
      <c r="AQ202" s="46"/>
    </row>
    <row r="203" spans="1:43" s="5" customFormat="1" hidden="1" x14ac:dyDescent="0.2">
      <c r="A203" s="46"/>
      <c r="B203" s="76"/>
      <c r="AQ203" s="46"/>
    </row>
    <row r="204" spans="1:43" s="5" customFormat="1" hidden="1" x14ac:dyDescent="0.2">
      <c r="A204" s="46"/>
      <c r="B204" s="76"/>
      <c r="AQ204" s="46"/>
    </row>
    <row r="205" spans="1:43" s="5" customFormat="1" hidden="1" x14ac:dyDescent="0.2">
      <c r="A205" s="46"/>
      <c r="B205" s="76"/>
      <c r="AQ205" s="46"/>
    </row>
    <row r="206" spans="1:43" s="5" customFormat="1" hidden="1" x14ac:dyDescent="0.2">
      <c r="A206" s="46"/>
      <c r="B206" s="76"/>
      <c r="AQ206" s="46"/>
    </row>
    <row r="207" spans="1:43" s="5" customFormat="1" hidden="1" x14ac:dyDescent="0.2">
      <c r="A207" s="46"/>
      <c r="B207" s="76"/>
      <c r="AQ207" s="46"/>
    </row>
    <row r="208" spans="1:43" s="5" customFormat="1" hidden="1" x14ac:dyDescent="0.2">
      <c r="A208" s="46"/>
      <c r="B208" s="76"/>
      <c r="AQ208" s="46"/>
    </row>
    <row r="209" spans="1:43" s="5" customFormat="1" hidden="1" x14ac:dyDescent="0.2">
      <c r="A209" s="46"/>
      <c r="B209" s="76"/>
      <c r="AQ209" s="46"/>
    </row>
    <row r="210" spans="1:43" s="5" customFormat="1" hidden="1" x14ac:dyDescent="0.2">
      <c r="A210" s="46"/>
      <c r="B210" s="76"/>
      <c r="AQ210" s="46"/>
    </row>
    <row r="211" spans="1:43" s="5" customFormat="1" hidden="1" x14ac:dyDescent="0.2">
      <c r="A211" s="46"/>
      <c r="B211" s="76"/>
      <c r="AQ211" s="46"/>
    </row>
    <row r="212" spans="1:43" s="5" customFormat="1" hidden="1" x14ac:dyDescent="0.2">
      <c r="A212" s="46"/>
      <c r="B212" s="76"/>
      <c r="AQ212" s="46"/>
    </row>
    <row r="213" spans="1:43" s="5" customFormat="1" hidden="1" x14ac:dyDescent="0.2">
      <c r="A213" s="46"/>
      <c r="B213" s="76"/>
      <c r="AQ213" s="46"/>
    </row>
    <row r="214" spans="1:43" s="5" customFormat="1" hidden="1" x14ac:dyDescent="0.2">
      <c r="A214" s="46"/>
      <c r="B214" s="76"/>
      <c r="AQ214" s="46"/>
    </row>
    <row r="215" spans="1:43" s="5" customFormat="1" hidden="1" x14ac:dyDescent="0.2">
      <c r="A215" s="46"/>
      <c r="B215" s="76"/>
      <c r="AQ215" s="46"/>
    </row>
    <row r="216" spans="1:43" s="5" customFormat="1" hidden="1" x14ac:dyDescent="0.2">
      <c r="A216" s="46"/>
      <c r="B216" s="76"/>
      <c r="AQ216" s="46"/>
    </row>
    <row r="217" spans="1:43" s="5" customFormat="1" hidden="1" x14ac:dyDescent="0.2">
      <c r="A217" s="46"/>
      <c r="B217" s="76"/>
      <c r="AQ217" s="46"/>
    </row>
    <row r="218" spans="1:43" s="5" customFormat="1" hidden="1" x14ac:dyDescent="0.2">
      <c r="A218" s="46"/>
      <c r="B218" s="76"/>
      <c r="AQ218" s="46"/>
    </row>
    <row r="219" spans="1:43" s="5" customFormat="1" hidden="1" x14ac:dyDescent="0.2">
      <c r="A219" s="46"/>
      <c r="B219" s="76"/>
      <c r="AQ219" s="46"/>
    </row>
    <row r="220" spans="1:43" s="5" customFormat="1" hidden="1" x14ac:dyDescent="0.2">
      <c r="A220" s="46"/>
      <c r="B220" s="76"/>
      <c r="AQ220" s="46"/>
    </row>
    <row r="221" spans="1:43" s="5" customFormat="1" hidden="1" x14ac:dyDescent="0.2">
      <c r="A221" s="46"/>
      <c r="B221" s="76"/>
      <c r="AQ221" s="46"/>
    </row>
    <row r="222" spans="1:43" s="5" customFormat="1" hidden="1" x14ac:dyDescent="0.2">
      <c r="A222" s="46"/>
      <c r="B222" s="76"/>
      <c r="AQ222" s="46"/>
    </row>
    <row r="223" spans="1:43" s="5" customFormat="1" hidden="1" x14ac:dyDescent="0.2">
      <c r="A223" s="46"/>
      <c r="B223" s="76"/>
      <c r="AQ223" s="46"/>
    </row>
    <row r="224" spans="1:43" s="5" customFormat="1" hidden="1" x14ac:dyDescent="0.2">
      <c r="A224" s="46"/>
      <c r="B224" s="76"/>
      <c r="AQ224" s="46"/>
    </row>
    <row r="225" spans="1:43" s="5" customFormat="1" hidden="1" x14ac:dyDescent="0.2">
      <c r="A225" s="46"/>
      <c r="B225" s="76"/>
      <c r="AQ225" s="46"/>
    </row>
    <row r="226" spans="1:43" s="5" customFormat="1" hidden="1" x14ac:dyDescent="0.2">
      <c r="A226" s="46"/>
      <c r="B226" s="76"/>
      <c r="AQ226" s="46"/>
    </row>
    <row r="227" spans="1:43" s="5" customFormat="1" hidden="1" x14ac:dyDescent="0.2">
      <c r="A227" s="46"/>
      <c r="B227" s="76"/>
      <c r="AQ227" s="46"/>
    </row>
    <row r="228" spans="1:43" s="5" customFormat="1" hidden="1" x14ac:dyDescent="0.2">
      <c r="A228" s="46"/>
      <c r="B228" s="76"/>
      <c r="AQ228" s="46"/>
    </row>
    <row r="229" spans="1:43" s="5" customFormat="1" hidden="1" x14ac:dyDescent="0.2">
      <c r="A229" s="46"/>
      <c r="B229" s="76"/>
      <c r="AQ229" s="46"/>
    </row>
    <row r="230" spans="1:43" s="5" customFormat="1" hidden="1" x14ac:dyDescent="0.2">
      <c r="A230" s="46"/>
      <c r="B230" s="76"/>
      <c r="AQ230" s="46"/>
    </row>
    <row r="231" spans="1:43" s="5" customFormat="1" hidden="1" x14ac:dyDescent="0.2">
      <c r="A231" s="46"/>
      <c r="B231" s="76"/>
      <c r="AQ231" s="46"/>
    </row>
    <row r="232" spans="1:43" s="5" customFormat="1" hidden="1" x14ac:dyDescent="0.2">
      <c r="A232" s="46"/>
      <c r="B232" s="76"/>
      <c r="AQ232" s="46"/>
    </row>
    <row r="233" spans="1:43" s="5" customFormat="1" hidden="1" x14ac:dyDescent="0.2">
      <c r="A233" s="46"/>
      <c r="B233" s="76"/>
      <c r="AQ233" s="46"/>
    </row>
    <row r="234" spans="1:43" s="5" customFormat="1" hidden="1" x14ac:dyDescent="0.2">
      <c r="A234" s="46"/>
      <c r="B234" s="76"/>
      <c r="AQ234" s="46"/>
    </row>
    <row r="235" spans="1:43" s="5" customFormat="1" hidden="1" x14ac:dyDescent="0.2">
      <c r="A235" s="46"/>
      <c r="B235" s="76"/>
      <c r="AQ235" s="46"/>
    </row>
    <row r="236" spans="1:43" s="5" customFormat="1" hidden="1" x14ac:dyDescent="0.2">
      <c r="A236" s="46"/>
      <c r="B236" s="76"/>
      <c r="AQ236" s="46"/>
    </row>
    <row r="237" spans="1:43" s="5" customFormat="1" hidden="1" x14ac:dyDescent="0.2">
      <c r="A237" s="46"/>
      <c r="B237" s="76"/>
      <c r="AQ237" s="46"/>
    </row>
    <row r="238" spans="1:43" s="5" customFormat="1" hidden="1" x14ac:dyDescent="0.2">
      <c r="A238" s="46"/>
      <c r="B238" s="76"/>
      <c r="AQ238" s="46"/>
    </row>
    <row r="239" spans="1:43" s="5" customFormat="1" hidden="1" x14ac:dyDescent="0.2">
      <c r="A239" s="46"/>
      <c r="B239" s="76"/>
      <c r="AQ239" s="46"/>
    </row>
    <row r="240" spans="1:43" s="5" customFormat="1" hidden="1" x14ac:dyDescent="0.2">
      <c r="A240" s="46"/>
      <c r="B240" s="76"/>
      <c r="AQ240" s="46"/>
    </row>
    <row r="241" spans="1:43" s="5" customFormat="1" hidden="1" x14ac:dyDescent="0.2">
      <c r="A241" s="46"/>
      <c r="B241" s="76"/>
      <c r="AQ241" s="46"/>
    </row>
    <row r="242" spans="1:43" s="5" customFormat="1" hidden="1" x14ac:dyDescent="0.2">
      <c r="A242" s="46"/>
      <c r="B242" s="76"/>
      <c r="AQ242" s="46"/>
    </row>
    <row r="243" spans="1:43" s="5" customFormat="1" hidden="1" x14ac:dyDescent="0.2">
      <c r="A243" s="46"/>
      <c r="B243" s="76"/>
      <c r="AQ243" s="46"/>
    </row>
    <row r="244" spans="1:43" s="5" customFormat="1" hidden="1" x14ac:dyDescent="0.2">
      <c r="A244" s="46"/>
      <c r="B244" s="76"/>
      <c r="AQ244" s="46"/>
    </row>
    <row r="245" spans="1:43" s="5" customFormat="1" hidden="1" x14ac:dyDescent="0.2">
      <c r="A245" s="46"/>
      <c r="B245" s="76"/>
      <c r="AQ245" s="46"/>
    </row>
    <row r="246" spans="1:43" s="5" customFormat="1" hidden="1" x14ac:dyDescent="0.2">
      <c r="A246" s="46"/>
      <c r="B246" s="76"/>
      <c r="AQ246" s="46"/>
    </row>
    <row r="247" spans="1:43" s="5" customFormat="1" hidden="1" x14ac:dyDescent="0.2">
      <c r="A247" s="46"/>
      <c r="B247" s="76"/>
      <c r="AQ247" s="46"/>
    </row>
    <row r="248" spans="1:43" s="5" customFormat="1" hidden="1" x14ac:dyDescent="0.2">
      <c r="A248" s="46"/>
      <c r="B248" s="76"/>
      <c r="AQ248" s="46"/>
    </row>
    <row r="249" spans="1:43" s="5" customFormat="1" hidden="1" x14ac:dyDescent="0.2">
      <c r="A249" s="46"/>
      <c r="B249" s="76"/>
      <c r="AQ249" s="46"/>
    </row>
    <row r="250" spans="1:43" s="5" customFormat="1" hidden="1" x14ac:dyDescent="0.2">
      <c r="A250" s="46"/>
      <c r="B250" s="76"/>
      <c r="AQ250" s="46"/>
    </row>
    <row r="251" spans="1:43" s="5" customFormat="1" hidden="1" x14ac:dyDescent="0.2">
      <c r="A251" s="46"/>
      <c r="B251" s="76"/>
      <c r="AQ251" s="46"/>
    </row>
    <row r="252" spans="1:43" s="5" customFormat="1" hidden="1" x14ac:dyDescent="0.2">
      <c r="A252" s="46"/>
      <c r="B252" s="76"/>
      <c r="AQ252" s="46"/>
    </row>
    <row r="253" spans="1:43" s="5" customFormat="1" hidden="1" x14ac:dyDescent="0.2">
      <c r="A253" s="46"/>
      <c r="B253" s="76"/>
      <c r="AQ253" s="46"/>
    </row>
    <row r="254" spans="1:43" s="5" customFormat="1" hidden="1" x14ac:dyDescent="0.2">
      <c r="A254" s="46"/>
      <c r="B254" s="76"/>
      <c r="AQ254" s="46"/>
    </row>
    <row r="255" spans="1:43" s="5" customFormat="1" hidden="1" x14ac:dyDescent="0.2">
      <c r="A255" s="46"/>
      <c r="B255" s="76"/>
      <c r="AQ255" s="46"/>
    </row>
    <row r="256" spans="1:43" s="5" customFormat="1" hidden="1" x14ac:dyDescent="0.2">
      <c r="A256" s="46"/>
      <c r="B256" s="76"/>
      <c r="AQ256" s="46"/>
    </row>
    <row r="257" spans="1:43" s="5" customFormat="1" hidden="1" x14ac:dyDescent="0.2">
      <c r="A257" s="46"/>
      <c r="B257" s="76"/>
      <c r="AQ257" s="46"/>
    </row>
    <row r="258" spans="1:43" s="5" customFormat="1" hidden="1" x14ac:dyDescent="0.2">
      <c r="A258" s="46"/>
      <c r="B258" s="76"/>
      <c r="AQ258" s="46"/>
    </row>
    <row r="259" spans="1:43" s="5" customFormat="1" hidden="1" x14ac:dyDescent="0.2">
      <c r="A259" s="46"/>
      <c r="B259" s="76"/>
      <c r="AQ259" s="46"/>
    </row>
    <row r="260" spans="1:43" s="5" customFormat="1" hidden="1" x14ac:dyDescent="0.2">
      <c r="A260" s="46"/>
      <c r="B260" s="76"/>
      <c r="AQ260" s="46"/>
    </row>
    <row r="261" spans="1:43" s="5" customFormat="1" hidden="1" x14ac:dyDescent="0.2">
      <c r="A261" s="46"/>
      <c r="B261" s="76"/>
      <c r="AQ261" s="46"/>
    </row>
    <row r="262" spans="1:43" s="5" customFormat="1" hidden="1" x14ac:dyDescent="0.2">
      <c r="A262" s="46"/>
      <c r="B262" s="76"/>
      <c r="AQ262" s="46"/>
    </row>
    <row r="263" spans="1:43" s="5" customFormat="1" hidden="1" x14ac:dyDescent="0.2">
      <c r="A263" s="46"/>
      <c r="B263" s="76"/>
      <c r="AQ263" s="46"/>
    </row>
    <row r="264" spans="1:43" s="5" customFormat="1" hidden="1" x14ac:dyDescent="0.2">
      <c r="A264" s="46"/>
      <c r="B264" s="76"/>
      <c r="AQ264" s="46"/>
    </row>
    <row r="265" spans="1:43" s="5" customFormat="1" hidden="1" x14ac:dyDescent="0.2">
      <c r="A265" s="46"/>
      <c r="B265" s="76"/>
      <c r="AQ265" s="46"/>
    </row>
    <row r="266" spans="1:43" s="5" customFormat="1" hidden="1" x14ac:dyDescent="0.2">
      <c r="A266" s="46"/>
      <c r="B266" s="76"/>
      <c r="AQ266" s="46"/>
    </row>
    <row r="267" spans="1:43" s="5" customFormat="1" hidden="1" x14ac:dyDescent="0.2">
      <c r="A267" s="46"/>
      <c r="B267" s="76"/>
      <c r="AQ267" s="46"/>
    </row>
    <row r="268" spans="1:43" s="5" customFormat="1" hidden="1" x14ac:dyDescent="0.2">
      <c r="A268" s="46"/>
      <c r="B268" s="76"/>
      <c r="AQ268" s="46"/>
    </row>
    <row r="269" spans="1:43" s="5" customFormat="1" hidden="1" x14ac:dyDescent="0.2">
      <c r="A269" s="46"/>
      <c r="B269" s="76"/>
      <c r="AQ269" s="46"/>
    </row>
    <row r="270" spans="1:43" s="5" customFormat="1" hidden="1" x14ac:dyDescent="0.2">
      <c r="A270" s="46"/>
      <c r="B270" s="76"/>
      <c r="AQ270" s="46"/>
    </row>
    <row r="271" spans="1:43" s="5" customFormat="1" hidden="1" x14ac:dyDescent="0.2">
      <c r="A271" s="46"/>
      <c r="B271" s="76"/>
      <c r="AQ271" s="46"/>
    </row>
    <row r="272" spans="1:43" s="5" customFormat="1" hidden="1" x14ac:dyDescent="0.2">
      <c r="A272" s="46"/>
      <c r="B272" s="76"/>
      <c r="AQ272" s="46"/>
    </row>
    <row r="273" spans="1:43" s="5" customFormat="1" hidden="1" x14ac:dyDescent="0.2">
      <c r="A273" s="46"/>
      <c r="B273" s="76"/>
      <c r="AQ273" s="46"/>
    </row>
    <row r="274" spans="1:43" s="5" customFormat="1" hidden="1" x14ac:dyDescent="0.2">
      <c r="A274" s="46"/>
      <c r="B274" s="76"/>
      <c r="AQ274" s="46"/>
    </row>
    <row r="275" spans="1:43" s="5" customFormat="1" hidden="1" x14ac:dyDescent="0.2">
      <c r="A275" s="46"/>
      <c r="B275" s="76"/>
      <c r="AQ275" s="46"/>
    </row>
    <row r="276" spans="1:43" s="5" customFormat="1" hidden="1" x14ac:dyDescent="0.2">
      <c r="A276" s="46"/>
      <c r="B276" s="76"/>
      <c r="AQ276" s="46"/>
    </row>
    <row r="277" spans="1:43" s="5" customFormat="1" hidden="1" x14ac:dyDescent="0.2">
      <c r="A277" s="46"/>
      <c r="B277" s="76"/>
      <c r="AQ277" s="46"/>
    </row>
    <row r="278" spans="1:43" s="5" customFormat="1" hidden="1" x14ac:dyDescent="0.2">
      <c r="A278" s="46"/>
      <c r="B278" s="76"/>
      <c r="AQ278" s="46"/>
    </row>
    <row r="279" spans="1:43" s="5" customFormat="1" hidden="1" x14ac:dyDescent="0.2">
      <c r="A279" s="46"/>
      <c r="B279" s="76"/>
      <c r="AQ279" s="46"/>
    </row>
    <row r="280" spans="1:43" s="5" customFormat="1" hidden="1" x14ac:dyDescent="0.2">
      <c r="A280" s="46"/>
      <c r="B280" s="76"/>
      <c r="AQ280" s="46"/>
    </row>
    <row r="281" spans="1:43" s="5" customFormat="1" hidden="1" x14ac:dyDescent="0.2">
      <c r="A281" s="46"/>
      <c r="B281" s="76"/>
      <c r="AQ281" s="46"/>
    </row>
    <row r="282" spans="1:43" s="5" customFormat="1" hidden="1" x14ac:dyDescent="0.2">
      <c r="A282" s="46"/>
      <c r="B282" s="76"/>
      <c r="AQ282" s="46"/>
    </row>
    <row r="283" spans="1:43" s="5" customFormat="1" hidden="1" x14ac:dyDescent="0.2">
      <c r="A283" s="46"/>
      <c r="B283" s="76"/>
      <c r="AQ283" s="46"/>
    </row>
    <row r="284" spans="1:43" s="5" customFormat="1" hidden="1" x14ac:dyDescent="0.2">
      <c r="A284" s="46"/>
      <c r="B284" s="76"/>
      <c r="AQ284" s="46"/>
    </row>
    <row r="285" spans="1:43" s="5" customFormat="1" hidden="1" x14ac:dyDescent="0.2">
      <c r="A285" s="46"/>
      <c r="B285" s="76"/>
      <c r="AQ285" s="46"/>
    </row>
    <row r="286" spans="1:43" s="5" customFormat="1" hidden="1" x14ac:dyDescent="0.2">
      <c r="A286" s="46"/>
      <c r="B286" s="76"/>
      <c r="AQ286" s="46"/>
    </row>
    <row r="287" spans="1:43" s="5" customFormat="1" hidden="1" x14ac:dyDescent="0.2">
      <c r="A287" s="46"/>
      <c r="B287" s="76"/>
      <c r="AQ287" s="46"/>
    </row>
    <row r="288" spans="1:43" s="5" customFormat="1" hidden="1" x14ac:dyDescent="0.2">
      <c r="A288" s="46"/>
      <c r="B288" s="76"/>
      <c r="AQ288" s="46"/>
    </row>
    <row r="289" spans="1:43" s="5" customFormat="1" hidden="1" x14ac:dyDescent="0.2">
      <c r="A289" s="46"/>
      <c r="B289" s="76"/>
      <c r="AQ289" s="46"/>
    </row>
    <row r="290" spans="1:43" s="5" customFormat="1" hidden="1" x14ac:dyDescent="0.2">
      <c r="A290" s="46"/>
      <c r="B290" s="76"/>
      <c r="AQ290" s="46"/>
    </row>
  </sheetData>
  <sheetProtection sheet="1" objects="1" scenarios="1"/>
  <mergeCells count="48">
    <mergeCell ref="P23:R23"/>
    <mergeCell ref="J23:L23"/>
    <mergeCell ref="AH21:AJ21"/>
    <mergeCell ref="AH22:AJ22"/>
    <mergeCell ref="AN22:AP22"/>
    <mergeCell ref="AN21:AP21"/>
    <mergeCell ref="M22:O22"/>
    <mergeCell ref="M21:O21"/>
    <mergeCell ref="AK21:AM21"/>
    <mergeCell ref="AK22:AM22"/>
    <mergeCell ref="AE21:AG21"/>
    <mergeCell ref="AE22:AG22"/>
    <mergeCell ref="P21:R21"/>
    <mergeCell ref="S21:U21"/>
    <mergeCell ref="S22:U22"/>
    <mergeCell ref="P22:R22"/>
    <mergeCell ref="AB21:AD21"/>
    <mergeCell ref="AN20:AP20"/>
    <mergeCell ref="AN23:AP23"/>
    <mergeCell ref="AK20:AM20"/>
    <mergeCell ref="M20:O20"/>
    <mergeCell ref="V20:X20"/>
    <mergeCell ref="Y20:AA20"/>
    <mergeCell ref="V22:X22"/>
    <mergeCell ref="V23:X23"/>
    <mergeCell ref="Y22:AA22"/>
    <mergeCell ref="Y23:AA23"/>
    <mergeCell ref="AB22:AD22"/>
    <mergeCell ref="AB23:AD23"/>
    <mergeCell ref="AK23:AM23"/>
    <mergeCell ref="M23:O23"/>
    <mergeCell ref="S23:U23"/>
    <mergeCell ref="AH23:AJ23"/>
    <mergeCell ref="AE23:AG23"/>
    <mergeCell ref="AH20:AJ20"/>
    <mergeCell ref="G20:I20"/>
    <mergeCell ref="G21:I21"/>
    <mergeCell ref="G22:I22"/>
    <mergeCell ref="G23:I23"/>
    <mergeCell ref="J21:L21"/>
    <mergeCell ref="J22:L22"/>
    <mergeCell ref="J20:L20"/>
    <mergeCell ref="AE20:AG20"/>
    <mergeCell ref="S20:U20"/>
    <mergeCell ref="P20:R20"/>
    <mergeCell ref="Y21:AA21"/>
    <mergeCell ref="V21:X21"/>
    <mergeCell ref="AB20:AD20"/>
  </mergeCells>
  <phoneticPr fontId="13" type="noConversion"/>
  <conditionalFormatting sqref="C20:F20">
    <cfRule type="containsBlanks" dxfId="73" priority="15">
      <formula>LEN(TRIM(C20))=0</formula>
    </cfRule>
  </conditionalFormatting>
  <conditionalFormatting sqref="C25:F27">
    <cfRule type="containsBlanks" dxfId="72" priority="216">
      <formula>LEN(TRIM(C25))=0</formula>
    </cfRule>
  </conditionalFormatting>
  <conditionalFormatting sqref="C30:F30">
    <cfRule type="containsBlanks" dxfId="71" priority="450">
      <formula>LEN(TRIM(C30))=0</formula>
    </cfRule>
  </conditionalFormatting>
  <conditionalFormatting sqref="C33:F37">
    <cfRule type="containsBlanks" dxfId="70" priority="149">
      <formula>LEN(TRIM(C33))=0</formula>
    </cfRule>
  </conditionalFormatting>
  <conditionalFormatting sqref="C40:F49">
    <cfRule type="containsBlanks" dxfId="69" priority="442">
      <formula>LEN(TRIM(C40))=0</formula>
    </cfRule>
  </conditionalFormatting>
  <conditionalFormatting sqref="C54:F54">
    <cfRule type="containsBlanks" dxfId="68" priority="7">
      <formula>LEN(TRIM(C54))=0</formula>
    </cfRule>
  </conditionalFormatting>
  <conditionalFormatting sqref="I25:I27">
    <cfRule type="containsBlanks" dxfId="67" priority="213">
      <formula>LEN(TRIM(I25))=0</formula>
    </cfRule>
  </conditionalFormatting>
  <conditionalFormatting sqref="I30">
    <cfRule type="containsBlanks" dxfId="66" priority="289">
      <formula>LEN(TRIM(I30))=0</formula>
    </cfRule>
  </conditionalFormatting>
  <conditionalFormatting sqref="I33:I37">
    <cfRule type="containsBlanks" dxfId="65" priority="422">
      <formula>LEN(TRIM(I33))=0</formula>
    </cfRule>
  </conditionalFormatting>
  <conditionalFormatting sqref="I40:I49">
    <cfRule type="containsBlanks" dxfId="64" priority="429">
      <formula>LEN(TRIM(I40))=0</formula>
    </cfRule>
  </conditionalFormatting>
  <conditionalFormatting sqref="I54">
    <cfRule type="containsBlanks" dxfId="63" priority="125">
      <formula>LEN(TRIM(I54))=0</formula>
    </cfRule>
  </conditionalFormatting>
  <conditionalFormatting sqref="L25:L27">
    <cfRule type="containsBlanks" dxfId="62" priority="271">
      <formula>LEN(TRIM(L25))=0</formula>
    </cfRule>
  </conditionalFormatting>
  <conditionalFormatting sqref="L30">
    <cfRule type="containsBlanks" dxfId="61" priority="269">
      <formula>LEN(TRIM(L30))=0</formula>
    </cfRule>
  </conditionalFormatting>
  <conditionalFormatting sqref="L33:L37">
    <cfRule type="containsBlanks" dxfId="60" priority="396">
      <formula>LEN(TRIM(L33))=0</formula>
    </cfRule>
  </conditionalFormatting>
  <conditionalFormatting sqref="L40:L49">
    <cfRule type="containsBlanks" dxfId="59" priority="403">
      <formula>LEN(TRIM(L40))=0</formula>
    </cfRule>
  </conditionalFormatting>
  <conditionalFormatting sqref="L54">
    <cfRule type="containsBlanks" dxfId="58" priority="86">
      <formula>LEN(TRIM(L54))=0</formula>
    </cfRule>
  </conditionalFormatting>
  <conditionalFormatting sqref="O25:O27">
    <cfRule type="containsBlanks" dxfId="57" priority="202">
      <formula>LEN(TRIM(O25))=0</formula>
    </cfRule>
  </conditionalFormatting>
  <conditionalFormatting sqref="O30">
    <cfRule type="containsBlanks" dxfId="56" priority="229">
      <formula>LEN(TRIM(O30))=0</formula>
    </cfRule>
  </conditionalFormatting>
  <conditionalFormatting sqref="O33:O37">
    <cfRule type="containsBlanks" dxfId="55" priority="292">
      <formula>LEN(TRIM(O33))=0</formula>
    </cfRule>
  </conditionalFormatting>
  <conditionalFormatting sqref="O40:O49">
    <cfRule type="containsBlanks" dxfId="54" priority="299">
      <formula>LEN(TRIM(O40))=0</formula>
    </cfRule>
  </conditionalFormatting>
  <conditionalFormatting sqref="O54">
    <cfRule type="containsBlanks" dxfId="53" priority="65">
      <formula>LEN(TRIM(O54))=0</formula>
    </cfRule>
  </conditionalFormatting>
  <conditionalFormatting sqref="R25:R27">
    <cfRule type="containsBlanks" dxfId="52" priority="251">
      <formula>LEN(TRIM(R25))=0</formula>
    </cfRule>
  </conditionalFormatting>
  <conditionalFormatting sqref="R30">
    <cfRule type="containsBlanks" dxfId="51" priority="253">
      <formula>LEN(TRIM(R30))=0</formula>
    </cfRule>
  </conditionalFormatting>
  <conditionalFormatting sqref="R33:R37">
    <cfRule type="containsBlanks" dxfId="50" priority="344">
      <formula>LEN(TRIM(R33))=0</formula>
    </cfRule>
  </conditionalFormatting>
  <conditionalFormatting sqref="R40:R49">
    <cfRule type="containsBlanks" dxfId="49" priority="351">
      <formula>LEN(TRIM(R40))=0</formula>
    </cfRule>
  </conditionalFormatting>
  <conditionalFormatting sqref="R54">
    <cfRule type="containsBlanks" dxfId="48" priority="77">
      <formula>LEN(TRIM(R54))=0</formula>
    </cfRule>
  </conditionalFormatting>
  <conditionalFormatting sqref="U25:U27">
    <cfRule type="containsBlanks" dxfId="47" priority="261">
      <formula>LEN(TRIM(U25))=0</formula>
    </cfRule>
  </conditionalFormatting>
  <conditionalFormatting sqref="U30">
    <cfRule type="containsBlanks" dxfId="46" priority="259">
      <formula>LEN(TRIM(U30))=0</formula>
    </cfRule>
  </conditionalFormatting>
  <conditionalFormatting sqref="U33:U37">
    <cfRule type="containsBlanks" dxfId="45" priority="357">
      <formula>LEN(TRIM(U33))=0</formula>
    </cfRule>
  </conditionalFormatting>
  <conditionalFormatting sqref="U40:U49">
    <cfRule type="containsBlanks" dxfId="44" priority="364">
      <formula>LEN(TRIM(U40))=0</formula>
    </cfRule>
  </conditionalFormatting>
  <conditionalFormatting sqref="U54">
    <cfRule type="containsBlanks" dxfId="43" priority="80">
      <formula>LEN(TRIM(U54))=0</formula>
    </cfRule>
  </conditionalFormatting>
  <conditionalFormatting sqref="X25:X27">
    <cfRule type="containsBlanks" dxfId="42" priority="210">
      <formula>LEN(TRIM(X25))=0</formula>
    </cfRule>
  </conditionalFormatting>
  <conditionalFormatting sqref="X30">
    <cfRule type="containsBlanks" dxfId="41" priority="285">
      <formula>LEN(TRIM(X30))=0</formula>
    </cfRule>
  </conditionalFormatting>
  <conditionalFormatting sqref="X33:X37">
    <cfRule type="containsBlanks" dxfId="40" priority="409">
      <formula>LEN(TRIM(X33))=0</formula>
    </cfRule>
  </conditionalFormatting>
  <conditionalFormatting sqref="X40:X49">
    <cfRule type="containsBlanks" dxfId="39" priority="416">
      <formula>LEN(TRIM(X40))=0</formula>
    </cfRule>
  </conditionalFormatting>
  <conditionalFormatting sqref="X54">
    <cfRule type="containsBlanks" dxfId="38" priority="92">
      <formula>LEN(TRIM(X54))=0</formula>
    </cfRule>
  </conditionalFormatting>
  <conditionalFormatting sqref="AA25:AA27">
    <cfRule type="containsBlanks" dxfId="37" priority="133">
      <formula>LEN(TRIM(AA25))=0</formula>
    </cfRule>
  </conditionalFormatting>
  <conditionalFormatting sqref="AA30">
    <cfRule type="containsBlanks" dxfId="36" priority="135">
      <formula>LEN(TRIM(AA30))=0</formula>
    </cfRule>
  </conditionalFormatting>
  <conditionalFormatting sqref="AA33:AA37">
    <cfRule type="containsBlanks" dxfId="35" priority="136">
      <formula>LEN(TRIM(AA33))=0</formula>
    </cfRule>
  </conditionalFormatting>
  <conditionalFormatting sqref="AA40:AA49">
    <cfRule type="containsBlanks" dxfId="34" priority="140">
      <formula>LEN(TRIM(AA40))=0</formula>
    </cfRule>
  </conditionalFormatting>
  <conditionalFormatting sqref="AA54">
    <cfRule type="containsBlanks" dxfId="33" priority="89">
      <formula>LEN(TRIM(AA54))=0</formula>
    </cfRule>
  </conditionalFormatting>
  <conditionalFormatting sqref="AD25:AD27">
    <cfRule type="containsBlanks" dxfId="32" priority="21">
      <formula>LEN(TRIM(AD25))=0</formula>
    </cfRule>
  </conditionalFormatting>
  <conditionalFormatting sqref="AD30">
    <cfRule type="containsBlanks" dxfId="31" priority="23">
      <formula>LEN(TRIM(AD30))=0</formula>
    </cfRule>
  </conditionalFormatting>
  <conditionalFormatting sqref="AD33:AD37">
    <cfRule type="containsBlanks" dxfId="30" priority="24">
      <formula>LEN(TRIM(AD33))=0</formula>
    </cfRule>
  </conditionalFormatting>
  <conditionalFormatting sqref="AD40:AD49">
    <cfRule type="containsBlanks" dxfId="29" priority="28">
      <formula>LEN(TRIM(AD40))=0</formula>
    </cfRule>
  </conditionalFormatting>
  <conditionalFormatting sqref="AD54">
    <cfRule type="containsBlanks" dxfId="28" priority="16">
      <formula>LEN(TRIM(AD54))=0</formula>
    </cfRule>
  </conditionalFormatting>
  <conditionalFormatting sqref="AG25:AG27">
    <cfRule type="containsBlanks" dxfId="27" priority="267">
      <formula>LEN(TRIM(AG25))=0</formula>
    </cfRule>
  </conditionalFormatting>
  <conditionalFormatting sqref="AG30 AG33:AG37 AG40:AG49">
    <cfRule type="containsBlanks" dxfId="26" priority="906">
      <formula>LEN(TRIM(AG30))=0</formula>
    </cfRule>
  </conditionalFormatting>
  <conditionalFormatting sqref="AG54">
    <cfRule type="containsBlanks" dxfId="25" priority="83">
      <formula>LEN(TRIM(AG54))=0</formula>
    </cfRule>
  </conditionalFormatting>
  <conditionalFormatting sqref="AJ25:AJ27">
    <cfRule type="containsBlanks" dxfId="24" priority="204">
      <formula>LEN(TRIM(AJ25))=0</formula>
    </cfRule>
  </conditionalFormatting>
  <conditionalFormatting sqref="AJ30">
    <cfRule type="containsBlanks" dxfId="23" priority="247">
      <formula>LEN(TRIM(AJ30))=0</formula>
    </cfRule>
  </conditionalFormatting>
  <conditionalFormatting sqref="AJ33:AJ37">
    <cfRule type="containsBlanks" dxfId="22" priority="331">
      <formula>LEN(TRIM(AJ33))=0</formula>
    </cfRule>
  </conditionalFormatting>
  <conditionalFormatting sqref="AJ40:AJ49">
    <cfRule type="containsBlanks" dxfId="21" priority="338">
      <formula>LEN(TRIM(AJ40))=0</formula>
    </cfRule>
  </conditionalFormatting>
  <conditionalFormatting sqref="AJ54">
    <cfRule type="containsBlanks" dxfId="20" priority="74">
      <formula>LEN(TRIM(AJ54))=0</formula>
    </cfRule>
  </conditionalFormatting>
  <conditionalFormatting sqref="AM25:AM27">
    <cfRule type="containsBlanks" dxfId="19" priority="237">
      <formula>LEN(TRIM(AM25))=0</formula>
    </cfRule>
  </conditionalFormatting>
  <conditionalFormatting sqref="AM30">
    <cfRule type="containsBlanks" dxfId="18" priority="235">
      <formula>LEN(TRIM(AM30))=0</formula>
    </cfRule>
  </conditionalFormatting>
  <conditionalFormatting sqref="AM33:AM37">
    <cfRule type="containsBlanks" dxfId="17" priority="305">
      <formula>LEN(TRIM(AM33))=0</formula>
    </cfRule>
  </conditionalFormatting>
  <conditionalFormatting sqref="AM40:AM49">
    <cfRule type="containsBlanks" dxfId="16" priority="312">
      <formula>LEN(TRIM(AM40))=0</formula>
    </cfRule>
  </conditionalFormatting>
  <conditionalFormatting sqref="AM54">
    <cfRule type="containsBlanks" dxfId="15" priority="68">
      <formula>LEN(TRIM(AM54))=0</formula>
    </cfRule>
  </conditionalFormatting>
  <conditionalFormatting sqref="AP25:AP27">
    <cfRule type="containsBlanks" dxfId="14" priority="243">
      <formula>LEN(TRIM(AP25))=0</formula>
    </cfRule>
  </conditionalFormatting>
  <conditionalFormatting sqref="AP30">
    <cfRule type="containsBlanks" dxfId="13" priority="241">
      <formula>LEN(TRIM(AP30))=0</formula>
    </cfRule>
  </conditionalFormatting>
  <conditionalFormatting sqref="AP33:AP37">
    <cfRule type="containsBlanks" dxfId="12" priority="318">
      <formula>LEN(TRIM(AP33))=0</formula>
    </cfRule>
  </conditionalFormatting>
  <conditionalFormatting sqref="AP40:AP49">
    <cfRule type="containsBlanks" dxfId="11" priority="325">
      <formula>LEN(TRIM(AP40))=0</formula>
    </cfRule>
  </conditionalFormatting>
  <conditionalFormatting sqref="AP54">
    <cfRule type="containsBlanks" dxfId="10" priority="71">
      <formula>LEN(TRIM(AP54))=0</formula>
    </cfRule>
  </conditionalFormatting>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legacyDrawing r:id="rId3"/>
  <extLst>
    <ext xmlns:x14="http://schemas.microsoft.com/office/spreadsheetml/2009/9/main" uri="{78C0D931-6437-407d-A8EE-F0AAD7539E65}">
      <x14:conditionalFormattings>
        <x14:conditionalFormatting xmlns:xm="http://schemas.microsoft.com/office/excel/2006/main">
          <x14:cfRule type="iconSet" priority="223" id="{786BFD6D-CD69-4297-9CF7-ABCD1ABCC483}">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24" id="{7092BA46-3A2C-47DF-9649-83003DE8CE59}">
            <x14:iconSet iconSet="3Symbols" custom="1">
              <x14:cfvo type="percent">
                <xm:f>0</xm:f>
              </x14:cfvo>
              <x14:cfvo type="num">
                <xm:f>0</xm:f>
              </x14:cfvo>
              <x14:cfvo type="num">
                <xm:f>0</xm:f>
              </x14:cfvo>
              <x14:cfIcon iconSet="3Symbols" iconId="2"/>
              <x14:cfIcon iconSet="3Symbols" iconId="2"/>
              <x14:cfIcon iconSet="3Symbols" iconId="2"/>
            </x14:iconSet>
          </x14:cfRule>
          <xm:sqref>C25:C26</xm:sqref>
        </x14:conditionalFormatting>
        <x14:conditionalFormatting xmlns:xm="http://schemas.microsoft.com/office/excel/2006/main">
          <x14:cfRule type="iconSet" priority="546" id="{AC6109D8-D3CA-4CCB-8B1B-67D0C4829B13}">
            <x14:iconSet iconSet="3Symbols" custom="1">
              <x14:cfvo type="percent">
                <xm:f>0</xm:f>
              </x14:cfvo>
              <x14:cfvo type="num">
                <xm:f>0</xm:f>
              </x14:cfvo>
              <x14:cfvo type="num">
                <xm:f>0</xm:f>
              </x14:cfvo>
              <x14:cfIcon iconSet="3Symbols" iconId="2"/>
              <x14:cfIcon iconSet="3Symbols" iconId="2"/>
              <x14:cfIcon iconSet="3Symbols" iconId="2"/>
            </x14:iconSet>
          </x14:cfRule>
          <xm:sqref>C27</xm:sqref>
        </x14:conditionalFormatting>
        <x14:conditionalFormatting xmlns:xm="http://schemas.microsoft.com/office/excel/2006/main">
          <x14:cfRule type="iconSet" priority="1554" id="{85ADF29F-66E9-4840-933A-6570FACCBC60}">
            <x14:iconSet iconSet="3Symbols" custom="1">
              <x14:cfvo type="percent">
                <xm:f>0</xm:f>
              </x14:cfvo>
              <x14:cfvo type="num">
                <xm:f>0</xm:f>
              </x14:cfvo>
              <x14:cfvo type="num">
                <xm:f>0</xm:f>
              </x14:cfvo>
              <x14:cfIcon iconSet="3Symbols" iconId="2"/>
              <x14:cfIcon iconSet="3Symbols" iconId="2"/>
              <x14:cfIcon iconSet="3Symbols" iconId="2"/>
            </x14:iconSet>
          </x14:cfRule>
          <xm:sqref>C30</xm:sqref>
        </x14:conditionalFormatting>
        <x14:conditionalFormatting xmlns:xm="http://schemas.microsoft.com/office/excel/2006/main">
          <x14:cfRule type="iconSet" priority="812" id="{74C977AA-EADE-4DFC-86C9-7D2805CF7D47}">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3177" id="{E0D2C8AB-BDD4-4986-BFB4-8AD8F8C630C5}">
            <x14:iconSet iconSet="3Symbols" custom="1">
              <x14:cfvo type="percent">
                <xm:f>0</xm:f>
              </x14:cfvo>
              <x14:cfvo type="num">
                <xm:f>0</xm:f>
              </x14:cfvo>
              <x14:cfvo type="num">
                <xm:f>0</xm:f>
              </x14:cfvo>
              <x14:cfIcon iconSet="3Symbols" iconId="2"/>
              <x14:cfIcon iconSet="3Symbols" iconId="2"/>
              <x14:cfIcon iconSet="3Symbols" iconId="2"/>
            </x14:iconSet>
          </x14:cfRule>
          <xm:sqref>C33</xm:sqref>
        </x14:conditionalFormatting>
        <x14:conditionalFormatting xmlns:xm="http://schemas.microsoft.com/office/excel/2006/main">
          <x14:cfRule type="iconSet" priority="3176" id="{8339BF25-0480-4F2E-A17E-B000CE249D92}">
            <x14:iconSet iconSet="3Symbols" custom="1">
              <x14:cfvo type="percent">
                <xm:f>0</xm:f>
              </x14:cfvo>
              <x14:cfvo type="num">
                <xm:f>0</xm:f>
              </x14:cfvo>
              <x14:cfvo type="num">
                <xm:f>0</xm:f>
              </x14:cfvo>
              <x14:cfIcon iconSet="3Symbols" iconId="2"/>
              <x14:cfIcon iconSet="3Symbols" iconId="2"/>
              <x14:cfIcon iconSet="3Symbols" iconId="2"/>
            </x14:iconSet>
          </x14:cfRule>
          <xm:sqref>C33:E33</xm:sqref>
        </x14:conditionalFormatting>
        <x14:conditionalFormatting xmlns:xm="http://schemas.microsoft.com/office/excel/2006/main">
          <x14:cfRule type="iconSet" priority="3184" id="{A885A7C8-9FB9-4D29-A6FE-B642BA84F2B0}">
            <x14:iconSet iconSet="3Symbols" custom="1">
              <x14:cfvo type="percent">
                <xm:f>0</xm:f>
              </x14:cfvo>
              <x14:cfvo type="num">
                <xm:f>0</xm:f>
              </x14:cfvo>
              <x14:cfvo type="num">
                <xm:f>0</xm:f>
              </x14:cfvo>
              <x14:cfIcon iconSet="3Symbols" iconId="2"/>
              <x14:cfIcon iconSet="3Symbols" iconId="2"/>
              <x14:cfIcon iconSet="3Symbols" iconId="2"/>
            </x14:iconSet>
          </x14:cfRule>
          <xm:sqref>C34:E34</xm:sqref>
        </x14:conditionalFormatting>
        <x14:conditionalFormatting xmlns:xm="http://schemas.microsoft.com/office/excel/2006/main">
          <x14:cfRule type="iconSet" priority="469" id="{83D717B9-BE60-4FB4-A435-85A8A35F9BEE}">
            <x14:iconSet iconSet="3Symbols" custom="1">
              <x14:cfvo type="percent">
                <xm:f>0</xm:f>
              </x14:cfvo>
              <x14:cfvo type="num">
                <xm:f>0</xm:f>
              </x14:cfvo>
              <x14:cfvo type="num">
                <xm:f>0</xm:f>
              </x14:cfvo>
              <x14:cfIcon iconSet="3Symbols" iconId="2"/>
              <x14:cfIcon iconSet="3Symbols" iconId="2"/>
              <x14:cfIcon iconSet="3Symbols" iconId="2"/>
            </x14:iconSet>
          </x14:cfRule>
          <xm:sqref>C35:E35</xm:sqref>
        </x14:conditionalFormatting>
        <x14:conditionalFormatting xmlns:xm="http://schemas.microsoft.com/office/excel/2006/main">
          <x14:cfRule type="iconSet" priority="1729" id="{BED21DD4-F645-4F62-8DA6-96E4D6990406}">
            <x14:iconSet iconSet="3Symbols" custom="1">
              <x14:cfvo type="percent">
                <xm:f>0</xm:f>
              </x14:cfvo>
              <x14:cfvo type="num">
                <xm:f>0</xm:f>
              </x14:cfvo>
              <x14:cfvo type="num">
                <xm:f>0</xm:f>
              </x14:cfvo>
              <x14:cfIcon iconSet="3Symbols" iconId="2"/>
              <x14:cfIcon iconSet="3Symbols" iconId="2"/>
              <x14:cfIcon iconSet="3Symbols" iconId="2"/>
            </x14:iconSet>
          </x14:cfRule>
          <xm:sqref>C43:E43 C40:E40 C47:E47</xm:sqref>
        </x14:conditionalFormatting>
        <x14:conditionalFormatting xmlns:xm="http://schemas.microsoft.com/office/excel/2006/main">
          <x14:cfRule type="iconSet" priority="2914" id="{B1467353-34EF-4398-9675-158CF573B029}">
            <x14:iconSet iconSet="3Symbols" custom="1">
              <x14:cfvo type="percent">
                <xm:f>0</xm:f>
              </x14:cfvo>
              <x14:cfvo type="num">
                <xm:f>0</xm:f>
              </x14:cfvo>
              <x14:cfvo type="num">
                <xm:f>0</xm:f>
              </x14:cfvo>
              <x14:cfIcon iconSet="3Symbols" iconId="2"/>
              <x14:cfIcon iconSet="3Symbols" iconId="2"/>
              <x14:cfIcon iconSet="3Symbols" iconId="2"/>
            </x14:iconSet>
          </x14:cfRule>
          <xm:sqref>C44:E44 C41:E42</xm:sqref>
        </x14:conditionalFormatting>
        <x14:conditionalFormatting xmlns:xm="http://schemas.microsoft.com/office/excel/2006/main">
          <x14:cfRule type="iconSet" priority="2110" id="{961197CE-EA39-4B4D-8331-8C8F99CEB8F4}">
            <x14:iconSet iconSet="3Symbols" custom="1">
              <x14:cfvo type="percent">
                <xm:f>0</xm:f>
              </x14:cfvo>
              <x14:cfvo type="num">
                <xm:f>0</xm:f>
              </x14:cfvo>
              <x14:cfvo type="num">
                <xm:f>0</xm:f>
              </x14:cfvo>
              <x14:cfIcon iconSet="3Symbols" iconId="2"/>
              <x14:cfIcon iconSet="3Symbols" iconId="2"/>
              <x14:cfIcon iconSet="3Symbols" iconId="2"/>
            </x14:iconSet>
          </x14:cfRule>
          <xm:sqref>C45:E46 C33:E33</xm:sqref>
        </x14:conditionalFormatting>
        <x14:conditionalFormatting xmlns:xm="http://schemas.microsoft.com/office/excel/2006/main">
          <x14:cfRule type="iconSet" priority="2104" id="{C44E06B1-F388-438D-927B-83666593950B}">
            <x14:iconSet iconSet="3Symbols" custom="1">
              <x14:cfvo type="percent">
                <xm:f>0</xm:f>
              </x14:cfvo>
              <x14:cfvo type="num">
                <xm:f>0</xm:f>
              </x14:cfvo>
              <x14:cfvo type="num">
                <xm:f>0</xm:f>
              </x14:cfvo>
              <x14:cfIcon iconSet="3Symbols" iconId="2"/>
              <x14:cfIcon iconSet="3Symbols" iconId="2"/>
              <x14:cfIcon iconSet="3Symbols" iconId="2"/>
            </x14:iconSet>
          </x14:cfRule>
          <xm:sqref>C45:E46</xm:sqref>
        </x14:conditionalFormatting>
        <x14:conditionalFormatting xmlns:xm="http://schemas.microsoft.com/office/excel/2006/main">
          <x14:cfRule type="iconSet" priority="1978" id="{093F4C19-9C1D-4EB5-BC91-A46DD4444918}">
            <x14:iconSet iconSet="3Symbols" custom="1">
              <x14:cfvo type="percent">
                <xm:f>0</xm:f>
              </x14:cfvo>
              <x14:cfvo type="num">
                <xm:f>0</xm:f>
              </x14:cfvo>
              <x14:cfvo type="num">
                <xm:f>0</xm:f>
              </x14:cfvo>
              <x14:cfIcon iconSet="3Symbols" iconId="2"/>
              <x14:cfIcon iconSet="3Symbols" iconId="2"/>
              <x14:cfIcon iconSet="3Symbols" iconId="2"/>
            </x14:iconSet>
          </x14:cfRule>
          <xm:sqref>C48:E49 C36:E36</xm:sqref>
        </x14:conditionalFormatting>
        <x14:conditionalFormatting xmlns:xm="http://schemas.microsoft.com/office/excel/2006/main">
          <x14:cfRule type="iconSet" priority="8" id="{F1F77D84-93C2-4EE9-B8ED-543EBEEBE628}">
            <x14:iconSet iconSet="3Symbols" custom="1">
              <x14:cfvo type="percent">
                <xm:f>0</xm:f>
              </x14:cfvo>
              <x14:cfvo type="num">
                <xm:f>0</xm:f>
              </x14:cfvo>
              <x14:cfvo type="num">
                <xm:f>0</xm:f>
              </x14:cfvo>
              <x14:cfIcon iconSet="3Symbols" iconId="2"/>
              <x14:cfIcon iconSet="3Symbols" iconId="2"/>
              <x14:cfIcon iconSet="3Symbols" iconId="2"/>
            </x14:iconSet>
          </x14:cfRule>
          <xm:sqref>C54:E54</xm:sqref>
        </x14:conditionalFormatting>
        <x14:conditionalFormatting xmlns:xm="http://schemas.microsoft.com/office/excel/2006/main">
          <x14:cfRule type="iconSet" priority="11" id="{2F8C92A3-C988-4BFA-8B04-0B74EDF0F324}">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2" id="{E94D19AA-17F4-47D3-A3B3-9E367129DACD}">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3" id="{01D32C9E-6591-4A69-A231-ACAEA474A756}">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4" id="{91D26A06-5E8A-4FAB-9EE5-1F03EFF2ACB0}">
            <x14:iconSet iconSet="3Symbols" custom="1">
              <x14:cfvo type="percent">
                <xm:f>0</xm:f>
              </x14:cfvo>
              <x14:cfvo type="num">
                <xm:f>0</xm:f>
              </x14:cfvo>
              <x14:cfvo type="num">
                <xm:f>0</xm:f>
              </x14:cfvo>
              <x14:cfIcon iconSet="3Symbols" iconId="2"/>
              <x14:cfIcon iconSet="3Symbols" iconId="2"/>
              <x14:cfIcon iconSet="3Symbols" iconId="2"/>
            </x14:iconSet>
          </x14:cfRule>
          <xm:sqref>C20:F20</xm:sqref>
        </x14:conditionalFormatting>
        <x14:conditionalFormatting xmlns:xm="http://schemas.microsoft.com/office/excel/2006/main">
          <x14:cfRule type="iconSet" priority="547" id="{EA38BFD8-8785-4BE3-9FAD-3816ED17E915}">
            <x14:iconSet iconSet="3Symbols" custom="1">
              <x14:cfvo type="percent">
                <xm:f>0</xm:f>
              </x14:cfvo>
              <x14:cfvo type="num">
                <xm:f>0</xm:f>
              </x14:cfvo>
              <x14:cfvo type="num">
                <xm:f>0</xm:f>
              </x14:cfvo>
              <x14:cfIcon iconSet="3Symbols" iconId="2"/>
              <x14:cfIcon iconSet="3Symbols" iconId="2"/>
              <x14:cfIcon iconSet="3Symbols" iconId="2"/>
            </x14:iconSet>
          </x14:cfRule>
          <xm:sqref>C27:F27</xm:sqref>
        </x14:conditionalFormatting>
        <x14:conditionalFormatting xmlns:xm="http://schemas.microsoft.com/office/excel/2006/main">
          <x14:cfRule type="iconSet" priority="150" id="{FF7DE2D4-000B-4EBD-9B6B-E58B3129E116}">
            <x14:iconSet iconSet="3Symbols" custom="1">
              <x14:cfvo type="percent">
                <xm:f>0</xm:f>
              </x14:cfvo>
              <x14:cfvo type="num">
                <xm:f>0</xm:f>
              </x14:cfvo>
              <x14:cfvo type="num">
                <xm:f>0</xm:f>
              </x14:cfvo>
              <x14:cfIcon iconSet="3Symbols" iconId="2"/>
              <x14:cfIcon iconSet="3Symbols" iconId="2"/>
              <x14:cfIcon iconSet="3Symbols" iconId="2"/>
            </x14:iconSet>
          </x14:cfRule>
          <xm:sqref>C37:F37</xm:sqref>
        </x14:conditionalFormatting>
        <x14:conditionalFormatting xmlns:xm="http://schemas.microsoft.com/office/excel/2006/main">
          <x14:cfRule type="iconSet" priority="220" id="{CCFFA27B-8B1D-483E-8C47-4F1D1EAFA6A2}">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21" id="{B1DB5718-4143-466C-9136-C6A877021EED}">
            <x14:iconSet iconSet="3Symbols" custom="1">
              <x14:cfvo type="percent">
                <xm:f>0</xm:f>
              </x14:cfvo>
              <x14:cfvo type="num">
                <xm:f>0</xm:f>
              </x14:cfvo>
              <x14:cfvo type="num">
                <xm:f>0</xm:f>
              </x14:cfvo>
              <x14:cfIcon iconSet="3Symbols" iconId="2"/>
              <x14:cfIcon iconSet="3Symbols" iconId="2"/>
              <x14:cfIcon iconSet="3Symbols" iconId="2"/>
            </x14:iconSet>
          </x14:cfRule>
          <xm:sqref>D25:D26</xm:sqref>
        </x14:conditionalFormatting>
        <x14:conditionalFormatting xmlns:xm="http://schemas.microsoft.com/office/excel/2006/main">
          <x14:cfRule type="iconSet" priority="455" id="{7CC102DE-36C4-4373-8E19-6C45AC308452}">
            <x14:iconSet iconSet="3Symbols" custom="1">
              <x14:cfvo type="percent">
                <xm:f>0</xm:f>
              </x14:cfvo>
              <x14:cfvo type="num">
                <xm:f>0</xm:f>
              </x14:cfvo>
              <x14:cfvo type="num">
                <xm:f>0</xm:f>
              </x14:cfvo>
              <x14:cfIcon iconSet="3Symbols" iconId="2"/>
              <x14:cfIcon iconSet="3Symbols" iconId="2"/>
              <x14:cfIcon iconSet="3Symbols" iconId="2"/>
            </x14:iconSet>
          </x14:cfRule>
          <xm:sqref>D30</xm:sqref>
        </x14:conditionalFormatting>
        <x14:conditionalFormatting xmlns:xm="http://schemas.microsoft.com/office/excel/2006/main">
          <x14:cfRule type="iconSet" priority="217" id="{1C022223-E2F6-4F02-AC23-40DD8AE9A1FF}">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18" id="{EE0F650C-94A1-4603-9B43-B2E97E35A94D}">
            <x14:iconSet iconSet="3Symbols" custom="1">
              <x14:cfvo type="percent">
                <xm:f>0</xm:f>
              </x14:cfvo>
              <x14:cfvo type="num">
                <xm:f>0</xm:f>
              </x14:cfvo>
              <x14:cfvo type="num">
                <xm:f>0</xm:f>
              </x14:cfvo>
              <x14:cfIcon iconSet="3Symbols" iconId="2"/>
              <x14:cfIcon iconSet="3Symbols" iconId="2"/>
              <x14:cfIcon iconSet="3Symbols" iconId="2"/>
            </x14:iconSet>
          </x14:cfRule>
          <xm:sqref>E25:E26</xm:sqref>
        </x14:conditionalFormatting>
        <x14:conditionalFormatting xmlns:xm="http://schemas.microsoft.com/office/excel/2006/main">
          <x14:cfRule type="iconSet" priority="453" id="{4482291C-BEB7-4879-83BD-7A8395755C63}">
            <x14:iconSet iconSet="3Symbols" custom="1">
              <x14:cfvo type="percent">
                <xm:f>0</xm:f>
              </x14:cfvo>
              <x14:cfvo type="num">
                <xm:f>0</xm:f>
              </x14:cfvo>
              <x14:cfvo type="num">
                <xm:f>0</xm:f>
              </x14:cfvo>
              <x14:cfIcon iconSet="3Symbols" iconId="2"/>
              <x14:cfIcon iconSet="3Symbols" iconId="2"/>
              <x14:cfIcon iconSet="3Symbols" iconId="2"/>
            </x14:iconSet>
          </x14:cfRule>
          <xm:sqref>E30</xm:sqref>
        </x14:conditionalFormatting>
        <x14:conditionalFormatting xmlns:xm="http://schemas.microsoft.com/office/excel/2006/main">
          <x14:cfRule type="iconSet" priority="214" id="{127D8846-6B13-4C09-A952-31C8D35B1768}">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15" id="{E92C7812-E497-4F2A-A4BD-0E2F8A17BAA9}">
            <x14:iconSet iconSet="3Symbols" custom="1">
              <x14:cfvo type="percent">
                <xm:f>0</xm:f>
              </x14:cfvo>
              <x14:cfvo type="num">
                <xm:f>0</xm:f>
              </x14:cfvo>
              <x14:cfvo type="num">
                <xm:f>0</xm:f>
              </x14:cfvo>
              <x14:cfIcon iconSet="3Symbols" iconId="2"/>
              <x14:cfIcon iconSet="3Symbols" iconId="2"/>
              <x14:cfIcon iconSet="3Symbols" iconId="2"/>
            </x14:iconSet>
          </x14:cfRule>
          <xm:sqref>F25:F26</xm:sqref>
        </x14:conditionalFormatting>
        <x14:conditionalFormatting xmlns:xm="http://schemas.microsoft.com/office/excel/2006/main">
          <x14:cfRule type="iconSet" priority="451" id="{A1E7AB88-4A47-4E27-8FCE-5855F9D9073B}">
            <x14:iconSet iconSet="3Symbols" custom="1">
              <x14:cfvo type="percent">
                <xm:f>0</xm:f>
              </x14:cfvo>
              <x14:cfvo type="num">
                <xm:f>0</xm:f>
              </x14:cfvo>
              <x14:cfvo type="num">
                <xm:f>0</xm:f>
              </x14:cfvo>
              <x14:cfIcon iconSet="3Symbols" iconId="2"/>
              <x14:cfIcon iconSet="3Symbols" iconId="2"/>
              <x14:cfIcon iconSet="3Symbols" iconId="2"/>
            </x14:iconSet>
          </x14:cfRule>
          <xm:sqref>F30</xm:sqref>
        </x14:conditionalFormatting>
        <x14:conditionalFormatting xmlns:xm="http://schemas.microsoft.com/office/excel/2006/main">
          <x14:cfRule type="iconSet" priority="3187" id="{B64B038F-C509-47CD-AC51-4DEC39D93C71}">
            <x14:iconSet iconSet="3Symbols" custom="1">
              <x14:cfvo type="percent">
                <xm:f>0</xm:f>
              </x14:cfvo>
              <x14:cfvo type="num">
                <xm:f>0</xm:f>
              </x14:cfvo>
              <x14:cfvo type="num">
                <xm:f>0</xm:f>
              </x14:cfvo>
              <x14:cfIcon iconSet="3Symbols" iconId="2"/>
              <x14:cfIcon iconSet="3Symbols" iconId="2"/>
              <x14:cfIcon iconSet="3Symbols" iconId="2"/>
            </x14:iconSet>
          </x14:cfRule>
          <xm:sqref>F33</xm:sqref>
        </x14:conditionalFormatting>
        <x14:conditionalFormatting xmlns:xm="http://schemas.microsoft.com/office/excel/2006/main">
          <x14:cfRule type="iconSet" priority="3194" id="{EC2EBC95-8ABA-4571-9BA7-BFA094B154F3}">
            <x14:iconSet iconSet="3Symbols" custom="1">
              <x14:cfvo type="percent">
                <xm:f>0</xm:f>
              </x14:cfvo>
              <x14:cfvo type="num">
                <xm:f>0</xm:f>
              </x14:cfvo>
              <x14:cfvo type="num">
                <xm:f>0</xm:f>
              </x14:cfvo>
              <x14:cfIcon iconSet="3Symbols" iconId="2"/>
              <x14:cfIcon iconSet="3Symbols" iconId="2"/>
              <x14:cfIcon iconSet="3Symbols" iconId="2"/>
            </x14:iconSet>
          </x14:cfRule>
          <xm:sqref>F34</xm:sqref>
        </x14:conditionalFormatting>
        <x14:conditionalFormatting xmlns:xm="http://schemas.microsoft.com/office/excel/2006/main">
          <x14:cfRule type="iconSet" priority="436" id="{C43CB66F-8518-486A-96E0-CCAEC2E65ACE}">
            <x14:iconSet iconSet="3Symbols" custom="1">
              <x14:cfvo type="percent">
                <xm:f>0</xm:f>
              </x14:cfvo>
              <x14:cfvo type="num">
                <xm:f>0</xm:f>
              </x14:cfvo>
              <x14:cfvo type="num">
                <xm:f>0</xm:f>
              </x14:cfvo>
              <x14:cfIcon iconSet="3Symbols" iconId="2"/>
              <x14:cfIcon iconSet="3Symbols" iconId="2"/>
              <x14:cfIcon iconSet="3Symbols" iconId="2"/>
            </x14:iconSet>
          </x14:cfRule>
          <xm:sqref>F35</xm:sqref>
        </x14:conditionalFormatting>
        <x14:conditionalFormatting xmlns:xm="http://schemas.microsoft.com/office/excel/2006/main">
          <x14:cfRule type="iconSet" priority="443" id="{76E11BAE-4640-427A-B085-2EE4F26E6E71}">
            <x14:iconSet iconSet="3Symbols" custom="1">
              <x14:cfvo type="percent">
                <xm:f>0</xm:f>
              </x14:cfvo>
              <x14:cfvo type="num">
                <xm:f>0</xm:f>
              </x14:cfvo>
              <x14:cfvo type="num">
                <xm:f>0</xm:f>
              </x14:cfvo>
              <x14:cfIcon iconSet="3Symbols" iconId="2"/>
              <x14:cfIcon iconSet="3Symbols" iconId="2"/>
              <x14:cfIcon iconSet="3Symbols" iconId="2"/>
            </x14:iconSet>
          </x14:cfRule>
          <xm:sqref>F43 F40 F47</xm:sqref>
        </x14:conditionalFormatting>
        <x14:conditionalFormatting xmlns:xm="http://schemas.microsoft.com/office/excel/2006/main">
          <x14:cfRule type="iconSet" priority="447" id="{9152EC01-1518-4BCA-B10F-2D061538391E}">
            <x14:iconSet iconSet="3Symbols" custom="1">
              <x14:cfvo type="percent">
                <xm:f>0</xm:f>
              </x14:cfvo>
              <x14:cfvo type="num">
                <xm:f>0</xm:f>
              </x14:cfvo>
              <x14:cfvo type="num">
                <xm:f>0</xm:f>
              </x14:cfvo>
              <x14:cfIcon iconSet="3Symbols" iconId="2"/>
              <x14:cfIcon iconSet="3Symbols" iconId="2"/>
              <x14:cfIcon iconSet="3Symbols" iconId="2"/>
            </x14:iconSet>
          </x14:cfRule>
          <xm:sqref>F44 F41:F42</xm:sqref>
        </x14:conditionalFormatting>
        <x14:conditionalFormatting xmlns:xm="http://schemas.microsoft.com/office/excel/2006/main">
          <x14:cfRule type="iconSet" priority="446" id="{A7F8227D-861D-4FDC-8F40-1F1BD71657DE}">
            <x14:iconSet iconSet="3Symbols" custom="1">
              <x14:cfvo type="percent">
                <xm:f>0</xm:f>
              </x14:cfvo>
              <x14:cfvo type="num">
                <xm:f>0</xm:f>
              </x14:cfvo>
              <x14:cfvo type="num">
                <xm:f>0</xm:f>
              </x14:cfvo>
              <x14:cfIcon iconSet="3Symbols" iconId="2"/>
              <x14:cfIcon iconSet="3Symbols" iconId="2"/>
              <x14:cfIcon iconSet="3Symbols" iconId="2"/>
            </x14:iconSet>
          </x14:cfRule>
          <xm:sqref>F45:F46 F33</xm:sqref>
        </x14:conditionalFormatting>
        <x14:conditionalFormatting xmlns:xm="http://schemas.microsoft.com/office/excel/2006/main">
          <x14:cfRule type="iconSet" priority="445" id="{BCEA6EBA-FD89-497F-A16D-1205453C1135}">
            <x14:iconSet iconSet="3Symbols" custom="1">
              <x14:cfvo type="percent">
                <xm:f>0</xm:f>
              </x14:cfvo>
              <x14:cfvo type="num">
                <xm:f>0</xm:f>
              </x14:cfvo>
              <x14:cfvo type="num">
                <xm:f>0</xm:f>
              </x14:cfvo>
              <x14:cfIcon iconSet="3Symbols" iconId="2"/>
              <x14:cfIcon iconSet="3Symbols" iconId="2"/>
              <x14:cfIcon iconSet="3Symbols" iconId="2"/>
            </x14:iconSet>
          </x14:cfRule>
          <xm:sqref>F45:F46</xm:sqref>
        </x14:conditionalFormatting>
        <x14:conditionalFormatting xmlns:xm="http://schemas.microsoft.com/office/excel/2006/main">
          <x14:cfRule type="iconSet" priority="444" id="{2BF03FB2-9CF5-4E73-B4CD-370BD004B795}">
            <x14:iconSet iconSet="3Symbols" custom="1">
              <x14:cfvo type="percent">
                <xm:f>0</xm:f>
              </x14:cfvo>
              <x14:cfvo type="num">
                <xm:f>0</xm:f>
              </x14:cfvo>
              <x14:cfvo type="num">
                <xm:f>0</xm:f>
              </x14:cfvo>
              <x14:cfIcon iconSet="3Symbols" iconId="2"/>
              <x14:cfIcon iconSet="3Symbols" iconId="2"/>
              <x14:cfIcon iconSet="3Symbols" iconId="2"/>
            </x14:iconSet>
          </x14:cfRule>
          <xm:sqref>F48:F49 F36</xm:sqref>
        </x14:conditionalFormatting>
        <x14:conditionalFormatting xmlns:xm="http://schemas.microsoft.com/office/excel/2006/main">
          <x14:cfRule type="iconSet" priority="6" id="{89A6A63B-886E-453E-9AF1-00599DC4D13D}">
            <x14:iconSet iconSet="3Symbols" custom="1">
              <x14:cfvo type="percent">
                <xm:f>0</xm:f>
              </x14:cfvo>
              <x14:cfvo type="num">
                <xm:f>0</xm:f>
              </x14:cfvo>
              <x14:cfvo type="num">
                <xm:f>0</xm:f>
              </x14:cfvo>
              <x14:cfIcon iconSet="3Symbols" iconId="2"/>
              <x14:cfIcon iconSet="3Symbols" iconId="2"/>
              <x14:cfIcon iconSet="3Symbols" iconId="2"/>
            </x14:iconSet>
          </x14:cfRule>
          <xm:sqref>F54</xm:sqref>
        </x14:conditionalFormatting>
        <x14:conditionalFormatting xmlns:xm="http://schemas.microsoft.com/office/excel/2006/main">
          <x14:cfRule type="iconSet" priority="211" id="{CABE0665-3C82-4FD1-B82F-B507BCAA3B06}">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12" id="{619B0A6B-1B5E-4DC1-95BB-59BF3810D358}">
            <x14:iconSet iconSet="3Symbols" custom="1">
              <x14:cfvo type="percent">
                <xm:f>0</xm:f>
              </x14:cfvo>
              <x14:cfvo type="num">
                <xm:f>0</xm:f>
              </x14:cfvo>
              <x14:cfvo type="num">
                <xm:f>0</xm:f>
              </x14:cfvo>
              <x14:cfIcon iconSet="3Symbols" iconId="2"/>
              <x14:cfIcon iconSet="3Symbols" iconId="2"/>
              <x14:cfIcon iconSet="3Symbols" iconId="2"/>
            </x14:iconSet>
          </x14:cfRule>
          <xm:sqref>I25:I27</xm:sqref>
        </x14:conditionalFormatting>
        <x14:conditionalFormatting xmlns:xm="http://schemas.microsoft.com/office/excel/2006/main">
          <x14:cfRule type="iconSet" priority="288" id="{BD19A7C4-F5D7-44FA-A59D-CF499B6C89AA}">
            <x14:iconSet iconSet="3Symbols" custom="1">
              <x14:cfvo type="percent">
                <xm:f>0</xm:f>
              </x14:cfvo>
              <x14:cfvo type="num">
                <xm:f>0</xm:f>
              </x14:cfvo>
              <x14:cfvo type="num">
                <xm:f>0</xm:f>
              </x14:cfvo>
              <x14:cfIcon iconSet="3Symbols" iconId="2"/>
              <x14:cfIcon iconSet="3Symbols" iconId="2"/>
              <x14:cfIcon iconSet="3Symbols" iconId="2"/>
            </x14:iconSet>
          </x14:cfRule>
          <xm:sqref>I30</xm:sqref>
        </x14:conditionalFormatting>
        <x14:conditionalFormatting xmlns:xm="http://schemas.microsoft.com/office/excel/2006/main">
          <x14:cfRule type="iconSet" priority="3197" id="{D9DF7822-277D-4B89-9E4B-95B39CC5C2D9}">
            <x14:iconSet iconSet="3Symbols" custom="1">
              <x14:cfvo type="percent">
                <xm:f>0</xm:f>
              </x14:cfvo>
              <x14:cfvo type="num">
                <xm:f>0</xm:f>
              </x14:cfvo>
              <x14:cfvo type="num">
                <xm:f>0</xm:f>
              </x14:cfvo>
              <x14:cfIcon iconSet="3Symbols" iconId="2"/>
              <x14:cfIcon iconSet="3Symbols" iconId="2"/>
              <x14:cfIcon iconSet="3Symbols" iconId="2"/>
            </x14:iconSet>
          </x14:cfRule>
          <xm:sqref>I33</xm:sqref>
        </x14:conditionalFormatting>
        <x14:conditionalFormatting xmlns:xm="http://schemas.microsoft.com/office/excel/2006/main">
          <x14:cfRule type="iconSet" priority="3204" id="{15440ACD-60BC-4825-9165-FEA8ECFD4D59}">
            <x14:iconSet iconSet="3Symbols" custom="1">
              <x14:cfvo type="percent">
                <xm:f>0</xm:f>
              </x14:cfvo>
              <x14:cfvo type="num">
                <xm:f>0</xm:f>
              </x14:cfvo>
              <x14:cfvo type="num">
                <xm:f>0</xm:f>
              </x14:cfvo>
              <x14:cfIcon iconSet="3Symbols" iconId="2"/>
              <x14:cfIcon iconSet="3Symbols" iconId="2"/>
              <x14:cfIcon iconSet="3Symbols" iconId="2"/>
            </x14:iconSet>
          </x14:cfRule>
          <xm:sqref>I34</xm:sqref>
        </x14:conditionalFormatting>
        <x14:conditionalFormatting xmlns:xm="http://schemas.microsoft.com/office/excel/2006/main">
          <x14:cfRule type="iconSet" priority="423" id="{32DE7241-5CFB-408B-8E19-F94B4ACE2F87}">
            <x14:iconSet iconSet="3Symbols" custom="1">
              <x14:cfvo type="percent">
                <xm:f>0</xm:f>
              </x14:cfvo>
              <x14:cfvo type="num">
                <xm:f>0</xm:f>
              </x14:cfvo>
              <x14:cfvo type="num">
                <xm:f>0</xm:f>
              </x14:cfvo>
              <x14:cfIcon iconSet="3Symbols" iconId="2"/>
              <x14:cfIcon iconSet="3Symbols" iconId="2"/>
              <x14:cfIcon iconSet="3Symbols" iconId="2"/>
            </x14:iconSet>
          </x14:cfRule>
          <xm:sqref>I35</xm:sqref>
        </x14:conditionalFormatting>
        <x14:conditionalFormatting xmlns:xm="http://schemas.microsoft.com/office/excel/2006/main">
          <x14:cfRule type="iconSet" priority="430" id="{DA48E786-B7B1-49CF-9BBB-6BF7AE039C9C}">
            <x14:iconSet iconSet="3Symbols" custom="1">
              <x14:cfvo type="percent">
                <xm:f>0</xm:f>
              </x14:cfvo>
              <x14:cfvo type="num">
                <xm:f>0</xm:f>
              </x14:cfvo>
              <x14:cfvo type="num">
                <xm:f>0</xm:f>
              </x14:cfvo>
              <x14:cfIcon iconSet="3Symbols" iconId="2"/>
              <x14:cfIcon iconSet="3Symbols" iconId="2"/>
              <x14:cfIcon iconSet="3Symbols" iconId="2"/>
            </x14:iconSet>
          </x14:cfRule>
          <xm:sqref>I43 I40 I47</xm:sqref>
        </x14:conditionalFormatting>
        <x14:conditionalFormatting xmlns:xm="http://schemas.microsoft.com/office/excel/2006/main">
          <x14:cfRule type="iconSet" priority="434" id="{D6E7F0DF-797F-4E9D-9CEE-9069A562381B}">
            <x14:iconSet iconSet="3Symbols" custom="1">
              <x14:cfvo type="percent">
                <xm:f>0</xm:f>
              </x14:cfvo>
              <x14:cfvo type="num">
                <xm:f>0</xm:f>
              </x14:cfvo>
              <x14:cfvo type="num">
                <xm:f>0</xm:f>
              </x14:cfvo>
              <x14:cfIcon iconSet="3Symbols" iconId="2"/>
              <x14:cfIcon iconSet="3Symbols" iconId="2"/>
              <x14:cfIcon iconSet="3Symbols" iconId="2"/>
            </x14:iconSet>
          </x14:cfRule>
          <xm:sqref>I44 I41:I42</xm:sqref>
        </x14:conditionalFormatting>
        <x14:conditionalFormatting xmlns:xm="http://schemas.microsoft.com/office/excel/2006/main">
          <x14:cfRule type="iconSet" priority="433" id="{F27CBC1D-ED41-4FF4-8406-AF84573BA165}">
            <x14:iconSet iconSet="3Symbols" custom="1">
              <x14:cfvo type="percent">
                <xm:f>0</xm:f>
              </x14:cfvo>
              <x14:cfvo type="num">
                <xm:f>0</xm:f>
              </x14:cfvo>
              <x14:cfvo type="num">
                <xm:f>0</xm:f>
              </x14:cfvo>
              <x14:cfIcon iconSet="3Symbols" iconId="2"/>
              <x14:cfIcon iconSet="3Symbols" iconId="2"/>
              <x14:cfIcon iconSet="3Symbols" iconId="2"/>
            </x14:iconSet>
          </x14:cfRule>
          <xm:sqref>I45:I46 I33</xm:sqref>
        </x14:conditionalFormatting>
        <x14:conditionalFormatting xmlns:xm="http://schemas.microsoft.com/office/excel/2006/main">
          <x14:cfRule type="iconSet" priority="432" id="{CD692E46-271B-4B88-B9F0-07F182BF32D5}">
            <x14:iconSet iconSet="3Symbols" custom="1">
              <x14:cfvo type="percent">
                <xm:f>0</xm:f>
              </x14:cfvo>
              <x14:cfvo type="num">
                <xm:f>0</xm:f>
              </x14:cfvo>
              <x14:cfvo type="num">
                <xm:f>0</xm:f>
              </x14:cfvo>
              <x14:cfIcon iconSet="3Symbols" iconId="2"/>
              <x14:cfIcon iconSet="3Symbols" iconId="2"/>
              <x14:cfIcon iconSet="3Symbols" iconId="2"/>
            </x14:iconSet>
          </x14:cfRule>
          <xm:sqref>I45:I46</xm:sqref>
        </x14:conditionalFormatting>
        <x14:conditionalFormatting xmlns:xm="http://schemas.microsoft.com/office/excel/2006/main">
          <x14:cfRule type="iconSet" priority="431" id="{FF97CFE8-C472-4395-A9E8-27EF422CDEF8}">
            <x14:iconSet iconSet="3Symbols" custom="1">
              <x14:cfvo type="percent">
                <xm:f>0</xm:f>
              </x14:cfvo>
              <x14:cfvo type="num">
                <xm:f>0</xm:f>
              </x14:cfvo>
              <x14:cfvo type="num">
                <xm:f>0</xm:f>
              </x14:cfvo>
              <x14:cfIcon iconSet="3Symbols" iconId="2"/>
              <x14:cfIcon iconSet="3Symbols" iconId="2"/>
              <x14:cfIcon iconSet="3Symbols" iconId="2"/>
            </x14:iconSet>
          </x14:cfRule>
          <xm:sqref>I48:I49 I36:I37</xm:sqref>
        </x14:conditionalFormatting>
        <x14:conditionalFormatting xmlns:xm="http://schemas.microsoft.com/office/excel/2006/main">
          <x14:cfRule type="iconSet" priority="127" id="{1FAA6F87-5DC5-4423-86EB-76E209CCD0DB}">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26" id="{773F33A6-646F-4ADE-8881-E84A38CDDF2B}">
            <x14:iconSet iconSet="3Symbols" custom="1">
              <x14:cfvo type="percent">
                <xm:f>0</xm:f>
              </x14:cfvo>
              <x14:cfvo type="num">
                <xm:f>0</xm:f>
              </x14:cfvo>
              <x14:cfvo type="num">
                <xm:f>0</xm:f>
              </x14:cfvo>
              <x14:cfIcon iconSet="3Symbols" iconId="2"/>
              <x14:cfIcon iconSet="3Symbols" iconId="2"/>
              <x14:cfIcon iconSet="3Symbols" iconId="2"/>
            </x14:iconSet>
          </x14:cfRule>
          <xm:sqref>I54</xm:sqref>
        </x14:conditionalFormatting>
        <x14:conditionalFormatting xmlns:xm="http://schemas.microsoft.com/office/excel/2006/main">
          <x14:cfRule type="iconSet" priority="270" id="{E4379463-BBFC-4514-A2C2-32213DF91354}">
            <x14:iconSet iconSet="3Symbols" custom="1">
              <x14:cfvo type="percent">
                <xm:f>0</xm:f>
              </x14:cfvo>
              <x14:cfvo type="num">
                <xm:f>0</xm:f>
              </x14:cfvo>
              <x14:cfvo type="num">
                <xm:f>0</xm:f>
              </x14:cfvo>
              <x14:cfIcon iconSet="3Symbols" iconId="2"/>
              <x14:cfIcon iconSet="3Symbols" iconId="2"/>
              <x14:cfIcon iconSet="3Symbols" iconId="2"/>
            </x14:iconSet>
          </x14:cfRule>
          <xm:sqref>L25:L27</xm:sqref>
        </x14:conditionalFormatting>
        <x14:conditionalFormatting xmlns:xm="http://schemas.microsoft.com/office/excel/2006/main">
          <x14:cfRule type="iconSet" priority="268" id="{D4C9B403-837D-4BA9-8EAC-B228AB4E087B}">
            <x14:iconSet iconSet="3Symbols" custom="1">
              <x14:cfvo type="percent">
                <xm:f>0</xm:f>
              </x14:cfvo>
              <x14:cfvo type="num">
                <xm:f>0</xm:f>
              </x14:cfvo>
              <x14:cfvo type="num">
                <xm:f>0</xm:f>
              </x14:cfvo>
              <x14:cfIcon iconSet="3Symbols" iconId="2"/>
              <x14:cfIcon iconSet="3Symbols" iconId="2"/>
              <x14:cfIcon iconSet="3Symbols" iconId="2"/>
            </x14:iconSet>
          </x14:cfRule>
          <xm:sqref>L30</xm:sqref>
        </x14:conditionalFormatting>
        <x14:conditionalFormatting xmlns:xm="http://schemas.microsoft.com/office/excel/2006/main">
          <x14:cfRule type="iconSet" priority="3217" id="{C3E43514-1735-49F3-8881-FEACD6AF96B5}">
            <x14:iconSet iconSet="3Symbols" custom="1">
              <x14:cfvo type="percent">
                <xm:f>0</xm:f>
              </x14:cfvo>
              <x14:cfvo type="num">
                <xm:f>0</xm:f>
              </x14:cfvo>
              <x14:cfvo type="num">
                <xm:f>0</xm:f>
              </x14:cfvo>
              <x14:cfIcon iconSet="3Symbols" iconId="2"/>
              <x14:cfIcon iconSet="3Symbols" iconId="2"/>
              <x14:cfIcon iconSet="3Symbols" iconId="2"/>
            </x14:iconSet>
          </x14:cfRule>
          <xm:sqref>L33</xm:sqref>
        </x14:conditionalFormatting>
        <x14:conditionalFormatting xmlns:xm="http://schemas.microsoft.com/office/excel/2006/main">
          <x14:cfRule type="iconSet" priority="3224" id="{C7100178-4D13-4CE4-8AB1-AE69A7D0DD4E}">
            <x14:iconSet iconSet="3Symbols" custom="1">
              <x14:cfvo type="percent">
                <xm:f>0</xm:f>
              </x14:cfvo>
              <x14:cfvo type="num">
                <xm:f>0</xm:f>
              </x14:cfvo>
              <x14:cfvo type="num">
                <xm:f>0</xm:f>
              </x14:cfvo>
              <x14:cfIcon iconSet="3Symbols" iconId="2"/>
              <x14:cfIcon iconSet="3Symbols" iconId="2"/>
              <x14:cfIcon iconSet="3Symbols" iconId="2"/>
            </x14:iconSet>
          </x14:cfRule>
          <xm:sqref>L34</xm:sqref>
        </x14:conditionalFormatting>
        <x14:conditionalFormatting xmlns:xm="http://schemas.microsoft.com/office/excel/2006/main">
          <x14:cfRule type="iconSet" priority="397" id="{7BC332BA-268D-4308-8BCE-E478D3C4F023}">
            <x14:iconSet iconSet="3Symbols" custom="1">
              <x14:cfvo type="percent">
                <xm:f>0</xm:f>
              </x14:cfvo>
              <x14:cfvo type="num">
                <xm:f>0</xm:f>
              </x14:cfvo>
              <x14:cfvo type="num">
                <xm:f>0</xm:f>
              </x14:cfvo>
              <x14:cfIcon iconSet="3Symbols" iconId="2"/>
              <x14:cfIcon iconSet="3Symbols" iconId="2"/>
              <x14:cfIcon iconSet="3Symbols" iconId="2"/>
            </x14:iconSet>
          </x14:cfRule>
          <xm:sqref>L35</xm:sqref>
        </x14:conditionalFormatting>
        <x14:conditionalFormatting xmlns:xm="http://schemas.microsoft.com/office/excel/2006/main">
          <x14:cfRule type="iconSet" priority="404" id="{5FCB27E8-64F4-4AAC-BBFE-363DD3476DA5}">
            <x14:iconSet iconSet="3Symbols" custom="1">
              <x14:cfvo type="percent">
                <xm:f>0</xm:f>
              </x14:cfvo>
              <x14:cfvo type="num">
                <xm:f>0</xm:f>
              </x14:cfvo>
              <x14:cfvo type="num">
                <xm:f>0</xm:f>
              </x14:cfvo>
              <x14:cfIcon iconSet="3Symbols" iconId="2"/>
              <x14:cfIcon iconSet="3Symbols" iconId="2"/>
              <x14:cfIcon iconSet="3Symbols" iconId="2"/>
            </x14:iconSet>
          </x14:cfRule>
          <xm:sqref>L43 L40 L47</xm:sqref>
        </x14:conditionalFormatting>
        <x14:conditionalFormatting xmlns:xm="http://schemas.microsoft.com/office/excel/2006/main">
          <x14:cfRule type="iconSet" priority="408" id="{DD192B25-67AE-46DB-BF32-A1C2310FE4CA}">
            <x14:iconSet iconSet="3Symbols" custom="1">
              <x14:cfvo type="percent">
                <xm:f>0</xm:f>
              </x14:cfvo>
              <x14:cfvo type="num">
                <xm:f>0</xm:f>
              </x14:cfvo>
              <x14:cfvo type="num">
                <xm:f>0</xm:f>
              </x14:cfvo>
              <x14:cfIcon iconSet="3Symbols" iconId="2"/>
              <x14:cfIcon iconSet="3Symbols" iconId="2"/>
              <x14:cfIcon iconSet="3Symbols" iconId="2"/>
            </x14:iconSet>
          </x14:cfRule>
          <xm:sqref>L44 L41:L42</xm:sqref>
        </x14:conditionalFormatting>
        <x14:conditionalFormatting xmlns:xm="http://schemas.microsoft.com/office/excel/2006/main">
          <x14:cfRule type="iconSet" priority="407" id="{15B02982-DBEF-46A4-BD5B-4B44501C856F}">
            <x14:iconSet iconSet="3Symbols" custom="1">
              <x14:cfvo type="percent">
                <xm:f>0</xm:f>
              </x14:cfvo>
              <x14:cfvo type="num">
                <xm:f>0</xm:f>
              </x14:cfvo>
              <x14:cfvo type="num">
                <xm:f>0</xm:f>
              </x14:cfvo>
              <x14:cfIcon iconSet="3Symbols" iconId="2"/>
              <x14:cfIcon iconSet="3Symbols" iconId="2"/>
              <x14:cfIcon iconSet="3Symbols" iconId="2"/>
            </x14:iconSet>
          </x14:cfRule>
          <xm:sqref>L45:L46 L33</xm:sqref>
        </x14:conditionalFormatting>
        <x14:conditionalFormatting xmlns:xm="http://schemas.microsoft.com/office/excel/2006/main">
          <x14:cfRule type="iconSet" priority="406" id="{62A20447-0FF7-413C-98C8-8B71A482FCC4}">
            <x14:iconSet iconSet="3Symbols" custom="1">
              <x14:cfvo type="percent">
                <xm:f>0</xm:f>
              </x14:cfvo>
              <x14:cfvo type="num">
                <xm:f>0</xm:f>
              </x14:cfvo>
              <x14:cfvo type="num">
                <xm:f>0</xm:f>
              </x14:cfvo>
              <x14:cfIcon iconSet="3Symbols" iconId="2"/>
              <x14:cfIcon iconSet="3Symbols" iconId="2"/>
              <x14:cfIcon iconSet="3Symbols" iconId="2"/>
            </x14:iconSet>
          </x14:cfRule>
          <xm:sqref>L45:L46</xm:sqref>
        </x14:conditionalFormatting>
        <x14:conditionalFormatting xmlns:xm="http://schemas.microsoft.com/office/excel/2006/main">
          <x14:cfRule type="iconSet" priority="405" id="{55068EEC-2776-4878-94E2-A739E72EF2E2}">
            <x14:iconSet iconSet="3Symbols" custom="1">
              <x14:cfvo type="percent">
                <xm:f>0</xm:f>
              </x14:cfvo>
              <x14:cfvo type="num">
                <xm:f>0</xm:f>
              </x14:cfvo>
              <x14:cfvo type="num">
                <xm:f>0</xm:f>
              </x14:cfvo>
              <x14:cfIcon iconSet="3Symbols" iconId="2"/>
              <x14:cfIcon iconSet="3Symbols" iconId="2"/>
              <x14:cfIcon iconSet="3Symbols" iconId="2"/>
            </x14:iconSet>
          </x14:cfRule>
          <xm:sqref>L48:L49 L36:L37</xm:sqref>
        </x14:conditionalFormatting>
        <x14:conditionalFormatting xmlns:xm="http://schemas.microsoft.com/office/excel/2006/main">
          <x14:cfRule type="iconSet" priority="88" id="{34098743-85DB-4F55-B184-CD0C6A8752AB}">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87" id="{5375DE16-D04A-4E96-B23D-0E377661EC5C}">
            <x14:iconSet iconSet="3Symbols" custom="1">
              <x14:cfvo type="percent">
                <xm:f>0</xm:f>
              </x14:cfvo>
              <x14:cfvo type="num">
                <xm:f>0</xm:f>
              </x14:cfvo>
              <x14:cfvo type="num">
                <xm:f>0</xm:f>
              </x14:cfvo>
              <x14:cfIcon iconSet="3Symbols" iconId="2"/>
              <x14:cfIcon iconSet="3Symbols" iconId="2"/>
              <x14:cfIcon iconSet="3Symbols" iconId="2"/>
            </x14:iconSet>
          </x14:cfRule>
          <xm:sqref>L54</xm:sqref>
        </x14:conditionalFormatting>
        <x14:conditionalFormatting xmlns:xm="http://schemas.microsoft.com/office/excel/2006/main">
          <x14:cfRule type="iconSet" priority="201" id="{0DADB7A3-7242-4452-B2B7-0D6E687BBDE0}">
            <x14:iconSet iconSet="3Symbols" custom="1">
              <x14:cfvo type="percent">
                <xm:f>0</xm:f>
              </x14:cfvo>
              <x14:cfvo type="num">
                <xm:f>0</xm:f>
              </x14:cfvo>
              <x14:cfvo type="num">
                <xm:f>0</xm:f>
              </x14:cfvo>
              <x14:cfIcon iconSet="3Symbols" iconId="2"/>
              <x14:cfIcon iconSet="3Symbols" iconId="2"/>
              <x14:cfIcon iconSet="3Symbols" iconId="2"/>
            </x14:iconSet>
          </x14:cfRule>
          <xm:sqref>O25:O26</xm:sqref>
        </x14:conditionalFormatting>
        <x14:conditionalFormatting xmlns:xm="http://schemas.microsoft.com/office/excel/2006/main">
          <x14:cfRule type="iconSet" priority="230" id="{54C6E16F-F93A-4399-B432-FB4D3E83ACBF}">
            <x14:iconSet iconSet="3Symbols" custom="1">
              <x14:cfvo type="percent">
                <xm:f>0</xm:f>
              </x14:cfvo>
              <x14:cfvo type="num">
                <xm:f>0</xm:f>
              </x14:cfvo>
              <x14:cfvo type="num">
                <xm:f>0</xm:f>
              </x14:cfvo>
              <x14:cfIcon iconSet="3Symbols" iconId="2"/>
              <x14:cfIcon iconSet="3Symbols" iconId="2"/>
              <x14:cfIcon iconSet="3Symbols" iconId="2"/>
            </x14:iconSet>
          </x14:cfRule>
          <xm:sqref>O27</xm:sqref>
        </x14:conditionalFormatting>
        <x14:conditionalFormatting xmlns:xm="http://schemas.microsoft.com/office/excel/2006/main">
          <x14:cfRule type="iconSet" priority="228" id="{8398525E-CABA-499A-BBAC-FFA564833F81}">
            <x14:iconSet iconSet="3Symbols" custom="1">
              <x14:cfvo type="percent">
                <xm:f>0</xm:f>
              </x14:cfvo>
              <x14:cfvo type="num">
                <xm:f>0</xm:f>
              </x14:cfvo>
              <x14:cfvo type="num">
                <xm:f>0</xm:f>
              </x14:cfvo>
              <x14:cfIcon iconSet="3Symbols" iconId="2"/>
              <x14:cfIcon iconSet="3Symbols" iconId="2"/>
              <x14:cfIcon iconSet="3Symbols" iconId="2"/>
            </x14:iconSet>
          </x14:cfRule>
          <xm:sqref>O30</xm:sqref>
        </x14:conditionalFormatting>
        <x14:conditionalFormatting xmlns:xm="http://schemas.microsoft.com/office/excel/2006/main">
          <x14:cfRule type="iconSet" priority="3287" id="{24773795-BEC3-44D6-B760-DD87ECB9B94C}">
            <x14:iconSet iconSet="3Symbols" custom="1">
              <x14:cfvo type="percent">
                <xm:f>0</xm:f>
              </x14:cfvo>
              <x14:cfvo type="num">
                <xm:f>0</xm:f>
              </x14:cfvo>
              <x14:cfvo type="num">
                <xm:f>0</xm:f>
              </x14:cfvo>
              <x14:cfIcon iconSet="3Symbols" iconId="2"/>
              <x14:cfIcon iconSet="3Symbols" iconId="2"/>
              <x14:cfIcon iconSet="3Symbols" iconId="2"/>
            </x14:iconSet>
          </x14:cfRule>
          <xm:sqref>O33</xm:sqref>
        </x14:conditionalFormatting>
        <x14:conditionalFormatting xmlns:xm="http://schemas.microsoft.com/office/excel/2006/main">
          <x14:cfRule type="iconSet" priority="3294" id="{9331CF12-A13C-48EC-AEEB-A4B4FBD55A14}">
            <x14:iconSet iconSet="3Symbols" custom="1">
              <x14:cfvo type="percent">
                <xm:f>0</xm:f>
              </x14:cfvo>
              <x14:cfvo type="num">
                <xm:f>0</xm:f>
              </x14:cfvo>
              <x14:cfvo type="num">
                <xm:f>0</xm:f>
              </x14:cfvo>
              <x14:cfIcon iconSet="3Symbols" iconId="2"/>
              <x14:cfIcon iconSet="3Symbols" iconId="2"/>
              <x14:cfIcon iconSet="3Symbols" iconId="2"/>
            </x14:iconSet>
          </x14:cfRule>
          <xm:sqref>O34</xm:sqref>
        </x14:conditionalFormatting>
        <x14:conditionalFormatting xmlns:xm="http://schemas.microsoft.com/office/excel/2006/main">
          <x14:cfRule type="iconSet" priority="293" id="{3D0BC706-32CE-47A4-A3E6-EE7AE0760416}">
            <x14:iconSet iconSet="3Symbols" custom="1">
              <x14:cfvo type="percent">
                <xm:f>0</xm:f>
              </x14:cfvo>
              <x14:cfvo type="num">
                <xm:f>0</xm:f>
              </x14:cfvo>
              <x14:cfvo type="num">
                <xm:f>0</xm:f>
              </x14:cfvo>
              <x14:cfIcon iconSet="3Symbols" iconId="2"/>
              <x14:cfIcon iconSet="3Symbols" iconId="2"/>
              <x14:cfIcon iconSet="3Symbols" iconId="2"/>
            </x14:iconSet>
          </x14:cfRule>
          <xm:sqref>O35</xm:sqref>
        </x14:conditionalFormatting>
        <x14:conditionalFormatting xmlns:xm="http://schemas.microsoft.com/office/excel/2006/main">
          <x14:cfRule type="iconSet" priority="300" id="{7A0B1F3C-02A2-43A7-A97B-03B85F496A5A}">
            <x14:iconSet iconSet="3Symbols" custom="1">
              <x14:cfvo type="percent">
                <xm:f>0</xm:f>
              </x14:cfvo>
              <x14:cfvo type="num">
                <xm:f>0</xm:f>
              </x14:cfvo>
              <x14:cfvo type="num">
                <xm:f>0</xm:f>
              </x14:cfvo>
              <x14:cfIcon iconSet="3Symbols" iconId="2"/>
              <x14:cfIcon iconSet="3Symbols" iconId="2"/>
              <x14:cfIcon iconSet="3Symbols" iconId="2"/>
            </x14:iconSet>
          </x14:cfRule>
          <xm:sqref>O43 O40 O47</xm:sqref>
        </x14:conditionalFormatting>
        <x14:conditionalFormatting xmlns:xm="http://schemas.microsoft.com/office/excel/2006/main">
          <x14:cfRule type="iconSet" priority="304" id="{A7AE3D84-6E03-4FB2-96BA-7EA436F57613}">
            <x14:iconSet iconSet="3Symbols" custom="1">
              <x14:cfvo type="percent">
                <xm:f>0</xm:f>
              </x14:cfvo>
              <x14:cfvo type="num">
                <xm:f>0</xm:f>
              </x14:cfvo>
              <x14:cfvo type="num">
                <xm:f>0</xm:f>
              </x14:cfvo>
              <x14:cfIcon iconSet="3Symbols" iconId="2"/>
              <x14:cfIcon iconSet="3Symbols" iconId="2"/>
              <x14:cfIcon iconSet="3Symbols" iconId="2"/>
            </x14:iconSet>
          </x14:cfRule>
          <xm:sqref>O44 O41:O42</xm:sqref>
        </x14:conditionalFormatting>
        <x14:conditionalFormatting xmlns:xm="http://schemas.microsoft.com/office/excel/2006/main">
          <x14:cfRule type="iconSet" priority="303" id="{67D0B8E2-350D-4804-8204-0523947605B2}">
            <x14:iconSet iconSet="3Symbols" custom="1">
              <x14:cfvo type="percent">
                <xm:f>0</xm:f>
              </x14:cfvo>
              <x14:cfvo type="num">
                <xm:f>0</xm:f>
              </x14:cfvo>
              <x14:cfvo type="num">
                <xm:f>0</xm:f>
              </x14:cfvo>
              <x14:cfIcon iconSet="3Symbols" iconId="2"/>
              <x14:cfIcon iconSet="3Symbols" iconId="2"/>
              <x14:cfIcon iconSet="3Symbols" iconId="2"/>
            </x14:iconSet>
          </x14:cfRule>
          <xm:sqref>O45:O46 O33</xm:sqref>
        </x14:conditionalFormatting>
        <x14:conditionalFormatting xmlns:xm="http://schemas.microsoft.com/office/excel/2006/main">
          <x14:cfRule type="iconSet" priority="302" id="{43E36563-D6F2-49E5-B811-31DA0B7A8A5C}">
            <x14:iconSet iconSet="3Symbols" custom="1">
              <x14:cfvo type="percent">
                <xm:f>0</xm:f>
              </x14:cfvo>
              <x14:cfvo type="num">
                <xm:f>0</xm:f>
              </x14:cfvo>
              <x14:cfvo type="num">
                <xm:f>0</xm:f>
              </x14:cfvo>
              <x14:cfIcon iconSet="3Symbols" iconId="2"/>
              <x14:cfIcon iconSet="3Symbols" iconId="2"/>
              <x14:cfIcon iconSet="3Symbols" iconId="2"/>
            </x14:iconSet>
          </x14:cfRule>
          <xm:sqref>O45:O46</xm:sqref>
        </x14:conditionalFormatting>
        <x14:conditionalFormatting xmlns:xm="http://schemas.microsoft.com/office/excel/2006/main">
          <x14:cfRule type="iconSet" priority="301" id="{12C7AB11-E47E-4C7E-AEB4-75F5EE253C70}">
            <x14:iconSet iconSet="3Symbols" custom="1">
              <x14:cfvo type="percent">
                <xm:f>0</xm:f>
              </x14:cfvo>
              <x14:cfvo type="num">
                <xm:f>0</xm:f>
              </x14:cfvo>
              <x14:cfvo type="num">
                <xm:f>0</xm:f>
              </x14:cfvo>
              <x14:cfIcon iconSet="3Symbols" iconId="2"/>
              <x14:cfIcon iconSet="3Symbols" iconId="2"/>
              <x14:cfIcon iconSet="3Symbols" iconId="2"/>
            </x14:iconSet>
          </x14:cfRule>
          <xm:sqref>O48:O49 O36:O37</xm:sqref>
        </x14:conditionalFormatting>
        <x14:conditionalFormatting xmlns:xm="http://schemas.microsoft.com/office/excel/2006/main">
          <x14:cfRule type="iconSet" priority="66" id="{748D4CA3-2F9B-4DEA-A820-3C63DE363943}">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67" id="{ED59B28D-E414-4B87-A907-632C41048A96}">
            <x14:iconSet iconSet="3Symbols" custom="1">
              <x14:cfvo type="percent">
                <xm:f>0</xm:f>
              </x14:cfvo>
              <x14:cfvo type="num">
                <xm:f>0</xm:f>
              </x14:cfvo>
              <x14:cfvo type="num">
                <xm:f>0</xm:f>
              </x14:cfvo>
              <x14:cfIcon iconSet="3Symbols" iconId="2"/>
              <x14:cfIcon iconSet="3Symbols" iconId="2"/>
              <x14:cfIcon iconSet="3Symbols" iconId="2"/>
            </x14:iconSet>
          </x14:cfRule>
          <xm:sqref>O54</xm:sqref>
        </x14:conditionalFormatting>
        <x14:conditionalFormatting xmlns:xm="http://schemas.microsoft.com/office/excel/2006/main">
          <x14:cfRule type="iconSet" priority="250" id="{960F6CD8-6FB3-46C6-B097-3094A004FEE8}">
            <x14:iconSet iconSet="3Symbols" custom="1">
              <x14:cfvo type="percent">
                <xm:f>0</xm:f>
              </x14:cfvo>
              <x14:cfvo type="num">
                <xm:f>0</xm:f>
              </x14:cfvo>
              <x14:cfvo type="num">
                <xm:f>0</xm:f>
              </x14:cfvo>
              <x14:cfIcon iconSet="3Symbols" iconId="2"/>
              <x14:cfIcon iconSet="3Symbols" iconId="2"/>
              <x14:cfIcon iconSet="3Symbols" iconId="2"/>
            </x14:iconSet>
          </x14:cfRule>
          <xm:sqref>R25:R27</xm:sqref>
        </x14:conditionalFormatting>
        <x14:conditionalFormatting xmlns:xm="http://schemas.microsoft.com/office/excel/2006/main">
          <x14:cfRule type="iconSet" priority="252" id="{B7AF75A6-005F-4081-B2F1-37B24F7BF3C8}">
            <x14:iconSet iconSet="3Symbols" custom="1">
              <x14:cfvo type="percent">
                <xm:f>0</xm:f>
              </x14:cfvo>
              <x14:cfvo type="num">
                <xm:f>0</xm:f>
              </x14:cfvo>
              <x14:cfvo type="num">
                <xm:f>0</xm:f>
              </x14:cfvo>
              <x14:cfIcon iconSet="3Symbols" iconId="2"/>
              <x14:cfIcon iconSet="3Symbols" iconId="2"/>
              <x14:cfIcon iconSet="3Symbols" iconId="2"/>
            </x14:iconSet>
          </x14:cfRule>
          <xm:sqref>R30</xm:sqref>
        </x14:conditionalFormatting>
        <x14:conditionalFormatting xmlns:xm="http://schemas.microsoft.com/office/excel/2006/main">
          <x14:cfRule type="iconSet" priority="3247" id="{4B59F15A-14C4-4D97-A197-55D481345A70}">
            <x14:iconSet iconSet="3Symbols" custom="1">
              <x14:cfvo type="percent">
                <xm:f>0</xm:f>
              </x14:cfvo>
              <x14:cfvo type="num">
                <xm:f>0</xm:f>
              </x14:cfvo>
              <x14:cfvo type="num">
                <xm:f>0</xm:f>
              </x14:cfvo>
              <x14:cfIcon iconSet="3Symbols" iconId="2"/>
              <x14:cfIcon iconSet="3Symbols" iconId="2"/>
              <x14:cfIcon iconSet="3Symbols" iconId="2"/>
            </x14:iconSet>
          </x14:cfRule>
          <xm:sqref>R33</xm:sqref>
        </x14:conditionalFormatting>
        <x14:conditionalFormatting xmlns:xm="http://schemas.microsoft.com/office/excel/2006/main">
          <x14:cfRule type="iconSet" priority="3254" id="{EBF813E6-77A5-42B0-90FC-FA9069BF1342}">
            <x14:iconSet iconSet="3Symbols" custom="1">
              <x14:cfvo type="percent">
                <xm:f>0</xm:f>
              </x14:cfvo>
              <x14:cfvo type="num">
                <xm:f>0</xm:f>
              </x14:cfvo>
              <x14:cfvo type="num">
                <xm:f>0</xm:f>
              </x14:cfvo>
              <x14:cfIcon iconSet="3Symbols" iconId="2"/>
              <x14:cfIcon iconSet="3Symbols" iconId="2"/>
              <x14:cfIcon iconSet="3Symbols" iconId="2"/>
            </x14:iconSet>
          </x14:cfRule>
          <xm:sqref>R34</xm:sqref>
        </x14:conditionalFormatting>
        <x14:conditionalFormatting xmlns:xm="http://schemas.microsoft.com/office/excel/2006/main">
          <x14:cfRule type="iconSet" priority="345" id="{B6371390-3EFF-489F-9FFF-647DC54DC946}">
            <x14:iconSet iconSet="3Symbols" custom="1">
              <x14:cfvo type="percent">
                <xm:f>0</xm:f>
              </x14:cfvo>
              <x14:cfvo type="num">
                <xm:f>0</xm:f>
              </x14:cfvo>
              <x14:cfvo type="num">
                <xm:f>0</xm:f>
              </x14:cfvo>
              <x14:cfIcon iconSet="3Symbols" iconId="2"/>
              <x14:cfIcon iconSet="3Symbols" iconId="2"/>
              <x14:cfIcon iconSet="3Symbols" iconId="2"/>
            </x14:iconSet>
          </x14:cfRule>
          <xm:sqref>R35</xm:sqref>
        </x14:conditionalFormatting>
        <x14:conditionalFormatting xmlns:xm="http://schemas.microsoft.com/office/excel/2006/main">
          <x14:cfRule type="iconSet" priority="352" id="{1C70F6D5-0D39-4D4A-BE50-88BD74176651}">
            <x14:iconSet iconSet="3Symbols" custom="1">
              <x14:cfvo type="percent">
                <xm:f>0</xm:f>
              </x14:cfvo>
              <x14:cfvo type="num">
                <xm:f>0</xm:f>
              </x14:cfvo>
              <x14:cfvo type="num">
                <xm:f>0</xm:f>
              </x14:cfvo>
              <x14:cfIcon iconSet="3Symbols" iconId="2"/>
              <x14:cfIcon iconSet="3Symbols" iconId="2"/>
              <x14:cfIcon iconSet="3Symbols" iconId="2"/>
            </x14:iconSet>
          </x14:cfRule>
          <xm:sqref>R43 R40 R47</xm:sqref>
        </x14:conditionalFormatting>
        <x14:conditionalFormatting xmlns:xm="http://schemas.microsoft.com/office/excel/2006/main">
          <x14:cfRule type="iconSet" priority="356" id="{51AAB25E-9E23-424C-B40B-A36E2D652DD3}">
            <x14:iconSet iconSet="3Symbols" custom="1">
              <x14:cfvo type="percent">
                <xm:f>0</xm:f>
              </x14:cfvo>
              <x14:cfvo type="num">
                <xm:f>0</xm:f>
              </x14:cfvo>
              <x14:cfvo type="num">
                <xm:f>0</xm:f>
              </x14:cfvo>
              <x14:cfIcon iconSet="3Symbols" iconId="2"/>
              <x14:cfIcon iconSet="3Symbols" iconId="2"/>
              <x14:cfIcon iconSet="3Symbols" iconId="2"/>
            </x14:iconSet>
          </x14:cfRule>
          <xm:sqref>R44 R41:R42</xm:sqref>
        </x14:conditionalFormatting>
        <x14:conditionalFormatting xmlns:xm="http://schemas.microsoft.com/office/excel/2006/main">
          <x14:cfRule type="iconSet" priority="355" id="{75988E0B-66D6-465B-8421-789DB1BADBEA}">
            <x14:iconSet iconSet="3Symbols" custom="1">
              <x14:cfvo type="percent">
                <xm:f>0</xm:f>
              </x14:cfvo>
              <x14:cfvo type="num">
                <xm:f>0</xm:f>
              </x14:cfvo>
              <x14:cfvo type="num">
                <xm:f>0</xm:f>
              </x14:cfvo>
              <x14:cfIcon iconSet="3Symbols" iconId="2"/>
              <x14:cfIcon iconSet="3Symbols" iconId="2"/>
              <x14:cfIcon iconSet="3Symbols" iconId="2"/>
            </x14:iconSet>
          </x14:cfRule>
          <xm:sqref>R45:R46 R33</xm:sqref>
        </x14:conditionalFormatting>
        <x14:conditionalFormatting xmlns:xm="http://schemas.microsoft.com/office/excel/2006/main">
          <x14:cfRule type="iconSet" priority="354" id="{53B112BC-A146-49D8-B13D-408A0E7B06DE}">
            <x14:iconSet iconSet="3Symbols" custom="1">
              <x14:cfvo type="percent">
                <xm:f>0</xm:f>
              </x14:cfvo>
              <x14:cfvo type="num">
                <xm:f>0</xm:f>
              </x14:cfvo>
              <x14:cfvo type="num">
                <xm:f>0</xm:f>
              </x14:cfvo>
              <x14:cfIcon iconSet="3Symbols" iconId="2"/>
              <x14:cfIcon iconSet="3Symbols" iconId="2"/>
              <x14:cfIcon iconSet="3Symbols" iconId="2"/>
            </x14:iconSet>
          </x14:cfRule>
          <xm:sqref>R45:R46</xm:sqref>
        </x14:conditionalFormatting>
        <x14:conditionalFormatting xmlns:xm="http://schemas.microsoft.com/office/excel/2006/main">
          <x14:cfRule type="iconSet" priority="353" id="{4B222519-031C-478D-9469-00926778F5E4}">
            <x14:iconSet iconSet="3Symbols" custom="1">
              <x14:cfvo type="percent">
                <xm:f>0</xm:f>
              </x14:cfvo>
              <x14:cfvo type="num">
                <xm:f>0</xm:f>
              </x14:cfvo>
              <x14:cfvo type="num">
                <xm:f>0</xm:f>
              </x14:cfvo>
              <x14:cfIcon iconSet="3Symbols" iconId="2"/>
              <x14:cfIcon iconSet="3Symbols" iconId="2"/>
              <x14:cfIcon iconSet="3Symbols" iconId="2"/>
            </x14:iconSet>
          </x14:cfRule>
          <xm:sqref>R48:R49 R36:R37</xm:sqref>
        </x14:conditionalFormatting>
        <x14:conditionalFormatting xmlns:xm="http://schemas.microsoft.com/office/excel/2006/main">
          <x14:cfRule type="iconSet" priority="78" id="{A3DC47D3-C9DF-44F4-838C-A566559489CB}">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79" id="{AD23DB30-3F89-4D9D-ACEE-34B6A6E1C382}">
            <x14:iconSet iconSet="3Symbols" custom="1">
              <x14:cfvo type="percent">
                <xm:f>0</xm:f>
              </x14:cfvo>
              <x14:cfvo type="num">
                <xm:f>0</xm:f>
              </x14:cfvo>
              <x14:cfvo type="num">
                <xm:f>0</xm:f>
              </x14:cfvo>
              <x14:cfIcon iconSet="3Symbols" iconId="2"/>
              <x14:cfIcon iconSet="3Symbols" iconId="2"/>
              <x14:cfIcon iconSet="3Symbols" iconId="2"/>
            </x14:iconSet>
          </x14:cfRule>
          <xm:sqref>R54</xm:sqref>
        </x14:conditionalFormatting>
        <x14:conditionalFormatting xmlns:xm="http://schemas.microsoft.com/office/excel/2006/main">
          <x14:cfRule type="iconSet" priority="260" id="{AE6443B1-5A0C-4D57-8233-0376F83761E0}">
            <x14:iconSet iconSet="3Symbols" custom="1">
              <x14:cfvo type="percent">
                <xm:f>0</xm:f>
              </x14:cfvo>
              <x14:cfvo type="num">
                <xm:f>0</xm:f>
              </x14:cfvo>
              <x14:cfvo type="num">
                <xm:f>0</xm:f>
              </x14:cfvo>
              <x14:cfIcon iconSet="3Symbols" iconId="2"/>
              <x14:cfIcon iconSet="3Symbols" iconId="2"/>
              <x14:cfIcon iconSet="3Symbols" iconId="2"/>
            </x14:iconSet>
          </x14:cfRule>
          <xm:sqref>U25:U27</xm:sqref>
        </x14:conditionalFormatting>
        <x14:conditionalFormatting xmlns:xm="http://schemas.microsoft.com/office/excel/2006/main">
          <x14:cfRule type="iconSet" priority="258" id="{57D0169A-3F68-4804-9638-BFBFF0ADBFCB}">
            <x14:iconSet iconSet="3Symbols" custom="1">
              <x14:cfvo type="percent">
                <xm:f>0</xm:f>
              </x14:cfvo>
              <x14:cfvo type="num">
                <xm:f>0</xm:f>
              </x14:cfvo>
              <x14:cfvo type="num">
                <xm:f>0</xm:f>
              </x14:cfvo>
              <x14:cfIcon iconSet="3Symbols" iconId="2"/>
              <x14:cfIcon iconSet="3Symbols" iconId="2"/>
              <x14:cfIcon iconSet="3Symbols" iconId="2"/>
            </x14:iconSet>
          </x14:cfRule>
          <xm:sqref>U30</xm:sqref>
        </x14:conditionalFormatting>
        <x14:conditionalFormatting xmlns:xm="http://schemas.microsoft.com/office/excel/2006/main">
          <x14:cfRule type="iconSet" priority="3237" id="{8ACE4044-D072-4CA6-9108-2ABF71D6FDDA}">
            <x14:iconSet iconSet="3Symbols" custom="1">
              <x14:cfvo type="percent">
                <xm:f>0</xm:f>
              </x14:cfvo>
              <x14:cfvo type="num">
                <xm:f>0</xm:f>
              </x14:cfvo>
              <x14:cfvo type="num">
                <xm:f>0</xm:f>
              </x14:cfvo>
              <x14:cfIcon iconSet="3Symbols" iconId="2"/>
              <x14:cfIcon iconSet="3Symbols" iconId="2"/>
              <x14:cfIcon iconSet="3Symbols" iconId="2"/>
            </x14:iconSet>
          </x14:cfRule>
          <xm:sqref>U33</xm:sqref>
        </x14:conditionalFormatting>
        <x14:conditionalFormatting xmlns:xm="http://schemas.microsoft.com/office/excel/2006/main">
          <x14:cfRule type="iconSet" priority="3244" id="{FBDBE2E7-2450-43D4-8A9F-8D93C05EDD30}">
            <x14:iconSet iconSet="3Symbols" custom="1">
              <x14:cfvo type="percent">
                <xm:f>0</xm:f>
              </x14:cfvo>
              <x14:cfvo type="num">
                <xm:f>0</xm:f>
              </x14:cfvo>
              <x14:cfvo type="num">
                <xm:f>0</xm:f>
              </x14:cfvo>
              <x14:cfIcon iconSet="3Symbols" iconId="2"/>
              <x14:cfIcon iconSet="3Symbols" iconId="2"/>
              <x14:cfIcon iconSet="3Symbols" iconId="2"/>
            </x14:iconSet>
          </x14:cfRule>
          <xm:sqref>U34</xm:sqref>
        </x14:conditionalFormatting>
        <x14:conditionalFormatting xmlns:xm="http://schemas.microsoft.com/office/excel/2006/main">
          <x14:cfRule type="iconSet" priority="358" id="{205A24B6-BBE5-4129-B1BA-FE87B702D5BB}">
            <x14:iconSet iconSet="3Symbols" custom="1">
              <x14:cfvo type="percent">
                <xm:f>0</xm:f>
              </x14:cfvo>
              <x14:cfvo type="num">
                <xm:f>0</xm:f>
              </x14:cfvo>
              <x14:cfvo type="num">
                <xm:f>0</xm:f>
              </x14:cfvo>
              <x14:cfIcon iconSet="3Symbols" iconId="2"/>
              <x14:cfIcon iconSet="3Symbols" iconId="2"/>
              <x14:cfIcon iconSet="3Symbols" iconId="2"/>
            </x14:iconSet>
          </x14:cfRule>
          <xm:sqref>U35</xm:sqref>
        </x14:conditionalFormatting>
        <x14:conditionalFormatting xmlns:xm="http://schemas.microsoft.com/office/excel/2006/main">
          <x14:cfRule type="iconSet" priority="365" id="{B449498B-B128-4E86-8FD6-34AC85A4CCCC}">
            <x14:iconSet iconSet="3Symbols" custom="1">
              <x14:cfvo type="percent">
                <xm:f>0</xm:f>
              </x14:cfvo>
              <x14:cfvo type="num">
                <xm:f>0</xm:f>
              </x14:cfvo>
              <x14:cfvo type="num">
                <xm:f>0</xm:f>
              </x14:cfvo>
              <x14:cfIcon iconSet="3Symbols" iconId="2"/>
              <x14:cfIcon iconSet="3Symbols" iconId="2"/>
              <x14:cfIcon iconSet="3Symbols" iconId="2"/>
            </x14:iconSet>
          </x14:cfRule>
          <xm:sqref>U43 U40 U47</xm:sqref>
        </x14:conditionalFormatting>
        <x14:conditionalFormatting xmlns:xm="http://schemas.microsoft.com/office/excel/2006/main">
          <x14:cfRule type="iconSet" priority="369" id="{D29112CB-FA6C-4654-BED2-B176CD460AA4}">
            <x14:iconSet iconSet="3Symbols" custom="1">
              <x14:cfvo type="percent">
                <xm:f>0</xm:f>
              </x14:cfvo>
              <x14:cfvo type="num">
                <xm:f>0</xm:f>
              </x14:cfvo>
              <x14:cfvo type="num">
                <xm:f>0</xm:f>
              </x14:cfvo>
              <x14:cfIcon iconSet="3Symbols" iconId="2"/>
              <x14:cfIcon iconSet="3Symbols" iconId="2"/>
              <x14:cfIcon iconSet="3Symbols" iconId="2"/>
            </x14:iconSet>
          </x14:cfRule>
          <xm:sqref>U44 U41:U42</xm:sqref>
        </x14:conditionalFormatting>
        <x14:conditionalFormatting xmlns:xm="http://schemas.microsoft.com/office/excel/2006/main">
          <x14:cfRule type="iconSet" priority="368" id="{795A673D-06A4-4BC6-805F-E8B6E7203B39}">
            <x14:iconSet iconSet="3Symbols" custom="1">
              <x14:cfvo type="percent">
                <xm:f>0</xm:f>
              </x14:cfvo>
              <x14:cfvo type="num">
                <xm:f>0</xm:f>
              </x14:cfvo>
              <x14:cfvo type="num">
                <xm:f>0</xm:f>
              </x14:cfvo>
              <x14:cfIcon iconSet="3Symbols" iconId="2"/>
              <x14:cfIcon iconSet="3Symbols" iconId="2"/>
              <x14:cfIcon iconSet="3Symbols" iconId="2"/>
            </x14:iconSet>
          </x14:cfRule>
          <xm:sqref>U45:U46 U33</xm:sqref>
        </x14:conditionalFormatting>
        <x14:conditionalFormatting xmlns:xm="http://schemas.microsoft.com/office/excel/2006/main">
          <x14:cfRule type="iconSet" priority="367" id="{553FAA0E-4369-4DE3-8F87-7A0332C86A9C}">
            <x14:iconSet iconSet="3Symbols" custom="1">
              <x14:cfvo type="percent">
                <xm:f>0</xm:f>
              </x14:cfvo>
              <x14:cfvo type="num">
                <xm:f>0</xm:f>
              </x14:cfvo>
              <x14:cfvo type="num">
                <xm:f>0</xm:f>
              </x14:cfvo>
              <x14:cfIcon iconSet="3Symbols" iconId="2"/>
              <x14:cfIcon iconSet="3Symbols" iconId="2"/>
              <x14:cfIcon iconSet="3Symbols" iconId="2"/>
            </x14:iconSet>
          </x14:cfRule>
          <xm:sqref>U45:U46</xm:sqref>
        </x14:conditionalFormatting>
        <x14:conditionalFormatting xmlns:xm="http://schemas.microsoft.com/office/excel/2006/main">
          <x14:cfRule type="iconSet" priority="366" id="{8358BF66-827F-407E-A130-E46D1E51FA1D}">
            <x14:iconSet iconSet="3Symbols" custom="1">
              <x14:cfvo type="percent">
                <xm:f>0</xm:f>
              </x14:cfvo>
              <x14:cfvo type="num">
                <xm:f>0</xm:f>
              </x14:cfvo>
              <x14:cfvo type="num">
                <xm:f>0</xm:f>
              </x14:cfvo>
              <x14:cfIcon iconSet="3Symbols" iconId="2"/>
              <x14:cfIcon iconSet="3Symbols" iconId="2"/>
              <x14:cfIcon iconSet="3Symbols" iconId="2"/>
            </x14:iconSet>
          </x14:cfRule>
          <xm:sqref>U48:U49 U36:U37</xm:sqref>
        </x14:conditionalFormatting>
        <x14:conditionalFormatting xmlns:xm="http://schemas.microsoft.com/office/excel/2006/main">
          <x14:cfRule type="iconSet" priority="82" id="{89EE720D-4D0D-42CF-8826-60E0DACCB18D}">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81" id="{04389AA5-1B04-44EB-BD26-46C9E0B4373A}">
            <x14:iconSet iconSet="3Symbols" custom="1">
              <x14:cfvo type="percent">
                <xm:f>0</xm:f>
              </x14:cfvo>
              <x14:cfvo type="num">
                <xm:f>0</xm:f>
              </x14:cfvo>
              <x14:cfvo type="num">
                <xm:f>0</xm:f>
              </x14:cfvo>
              <x14:cfIcon iconSet="3Symbols" iconId="2"/>
              <x14:cfIcon iconSet="3Symbols" iconId="2"/>
              <x14:cfIcon iconSet="3Symbols" iconId="2"/>
            </x14:iconSet>
          </x14:cfRule>
          <xm:sqref>U54</xm:sqref>
        </x14:conditionalFormatting>
        <x14:conditionalFormatting xmlns:xm="http://schemas.microsoft.com/office/excel/2006/main">
          <x14:cfRule type="iconSet" priority="208" id="{2269DD92-0C41-4BD4-A1CA-8A90BDE1E428}">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209" id="{E4CFD88D-5607-4981-91E9-929ADA3E4F02}">
            <x14:iconSet iconSet="3Symbols" custom="1">
              <x14:cfvo type="percent">
                <xm:f>0</xm:f>
              </x14:cfvo>
              <x14:cfvo type="num">
                <xm:f>0</xm:f>
              </x14:cfvo>
              <x14:cfvo type="num">
                <xm:f>0</xm:f>
              </x14:cfvo>
              <x14:cfIcon iconSet="3Symbols" iconId="2"/>
              <x14:cfIcon iconSet="3Symbols" iconId="2"/>
              <x14:cfIcon iconSet="3Symbols" iconId="2"/>
            </x14:iconSet>
          </x14:cfRule>
          <xm:sqref>X25:X27</xm:sqref>
        </x14:conditionalFormatting>
        <x14:conditionalFormatting xmlns:xm="http://schemas.microsoft.com/office/excel/2006/main">
          <x14:cfRule type="iconSet" priority="284" id="{84D854E2-EB14-4C74-A545-1CC7F639407E}">
            <x14:iconSet iconSet="3Symbols" custom="1">
              <x14:cfvo type="percent">
                <xm:f>0</xm:f>
              </x14:cfvo>
              <x14:cfvo type="num">
                <xm:f>0</xm:f>
              </x14:cfvo>
              <x14:cfvo type="num">
                <xm:f>0</xm:f>
              </x14:cfvo>
              <x14:cfIcon iconSet="3Symbols" iconId="2"/>
              <x14:cfIcon iconSet="3Symbols" iconId="2"/>
              <x14:cfIcon iconSet="3Symbols" iconId="2"/>
            </x14:iconSet>
          </x14:cfRule>
          <xm:sqref>X30</xm:sqref>
        </x14:conditionalFormatting>
        <x14:conditionalFormatting xmlns:xm="http://schemas.microsoft.com/office/excel/2006/main">
          <x14:cfRule type="iconSet" priority="3207" id="{1EF19AC4-9603-44FB-A63C-175738AEFF92}">
            <x14:iconSet iconSet="3Symbols" custom="1">
              <x14:cfvo type="percent">
                <xm:f>0</xm:f>
              </x14:cfvo>
              <x14:cfvo type="num">
                <xm:f>0</xm:f>
              </x14:cfvo>
              <x14:cfvo type="num">
                <xm:f>0</xm:f>
              </x14:cfvo>
              <x14:cfIcon iconSet="3Symbols" iconId="2"/>
              <x14:cfIcon iconSet="3Symbols" iconId="2"/>
              <x14:cfIcon iconSet="3Symbols" iconId="2"/>
            </x14:iconSet>
          </x14:cfRule>
          <xm:sqref>X33</xm:sqref>
        </x14:conditionalFormatting>
        <x14:conditionalFormatting xmlns:xm="http://schemas.microsoft.com/office/excel/2006/main">
          <x14:cfRule type="iconSet" priority="3214" id="{4290E397-BC9F-4796-9486-AA06B7168556}">
            <x14:iconSet iconSet="3Symbols" custom="1">
              <x14:cfvo type="percent">
                <xm:f>0</xm:f>
              </x14:cfvo>
              <x14:cfvo type="num">
                <xm:f>0</xm:f>
              </x14:cfvo>
              <x14:cfvo type="num">
                <xm:f>0</xm:f>
              </x14:cfvo>
              <x14:cfIcon iconSet="3Symbols" iconId="2"/>
              <x14:cfIcon iconSet="3Symbols" iconId="2"/>
              <x14:cfIcon iconSet="3Symbols" iconId="2"/>
            </x14:iconSet>
          </x14:cfRule>
          <xm:sqref>X34</xm:sqref>
        </x14:conditionalFormatting>
        <x14:conditionalFormatting xmlns:xm="http://schemas.microsoft.com/office/excel/2006/main">
          <x14:cfRule type="iconSet" priority="410" id="{A747FB12-80EC-449F-884A-84C4402CB854}">
            <x14:iconSet iconSet="3Symbols" custom="1">
              <x14:cfvo type="percent">
                <xm:f>0</xm:f>
              </x14:cfvo>
              <x14:cfvo type="num">
                <xm:f>0</xm:f>
              </x14:cfvo>
              <x14:cfvo type="num">
                <xm:f>0</xm:f>
              </x14:cfvo>
              <x14:cfIcon iconSet="3Symbols" iconId="2"/>
              <x14:cfIcon iconSet="3Symbols" iconId="2"/>
              <x14:cfIcon iconSet="3Symbols" iconId="2"/>
            </x14:iconSet>
          </x14:cfRule>
          <xm:sqref>X35</xm:sqref>
        </x14:conditionalFormatting>
        <x14:conditionalFormatting xmlns:xm="http://schemas.microsoft.com/office/excel/2006/main">
          <x14:cfRule type="iconSet" priority="417" id="{92F3E56E-25A2-4591-847B-E51AF83315C5}">
            <x14:iconSet iconSet="3Symbols" custom="1">
              <x14:cfvo type="percent">
                <xm:f>0</xm:f>
              </x14:cfvo>
              <x14:cfvo type="num">
                <xm:f>0</xm:f>
              </x14:cfvo>
              <x14:cfvo type="num">
                <xm:f>0</xm:f>
              </x14:cfvo>
              <x14:cfIcon iconSet="3Symbols" iconId="2"/>
              <x14:cfIcon iconSet="3Symbols" iconId="2"/>
              <x14:cfIcon iconSet="3Symbols" iconId="2"/>
            </x14:iconSet>
          </x14:cfRule>
          <xm:sqref>X43 X40 X47</xm:sqref>
        </x14:conditionalFormatting>
        <x14:conditionalFormatting xmlns:xm="http://schemas.microsoft.com/office/excel/2006/main">
          <x14:cfRule type="iconSet" priority="421" id="{48636A21-E4B4-4220-BA67-A786C4AC87B2}">
            <x14:iconSet iconSet="3Symbols" custom="1">
              <x14:cfvo type="percent">
                <xm:f>0</xm:f>
              </x14:cfvo>
              <x14:cfvo type="num">
                <xm:f>0</xm:f>
              </x14:cfvo>
              <x14:cfvo type="num">
                <xm:f>0</xm:f>
              </x14:cfvo>
              <x14:cfIcon iconSet="3Symbols" iconId="2"/>
              <x14:cfIcon iconSet="3Symbols" iconId="2"/>
              <x14:cfIcon iconSet="3Symbols" iconId="2"/>
            </x14:iconSet>
          </x14:cfRule>
          <xm:sqref>X44 X41:X42</xm:sqref>
        </x14:conditionalFormatting>
        <x14:conditionalFormatting xmlns:xm="http://schemas.microsoft.com/office/excel/2006/main">
          <x14:cfRule type="iconSet" priority="420" id="{21B9996C-D5EA-4864-8186-6E81F821AA1A}">
            <x14:iconSet iconSet="3Symbols" custom="1">
              <x14:cfvo type="percent">
                <xm:f>0</xm:f>
              </x14:cfvo>
              <x14:cfvo type="num">
                <xm:f>0</xm:f>
              </x14:cfvo>
              <x14:cfvo type="num">
                <xm:f>0</xm:f>
              </x14:cfvo>
              <x14:cfIcon iconSet="3Symbols" iconId="2"/>
              <x14:cfIcon iconSet="3Symbols" iconId="2"/>
              <x14:cfIcon iconSet="3Symbols" iconId="2"/>
            </x14:iconSet>
          </x14:cfRule>
          <xm:sqref>X45:X46 X33</xm:sqref>
        </x14:conditionalFormatting>
        <x14:conditionalFormatting xmlns:xm="http://schemas.microsoft.com/office/excel/2006/main">
          <x14:cfRule type="iconSet" priority="419" id="{2B3763E6-D137-4F25-B69A-BD01BC40E050}">
            <x14:iconSet iconSet="3Symbols" custom="1">
              <x14:cfvo type="percent">
                <xm:f>0</xm:f>
              </x14:cfvo>
              <x14:cfvo type="num">
                <xm:f>0</xm:f>
              </x14:cfvo>
              <x14:cfvo type="num">
                <xm:f>0</xm:f>
              </x14:cfvo>
              <x14:cfIcon iconSet="3Symbols" iconId="2"/>
              <x14:cfIcon iconSet="3Symbols" iconId="2"/>
              <x14:cfIcon iconSet="3Symbols" iconId="2"/>
            </x14:iconSet>
          </x14:cfRule>
          <xm:sqref>X45:X46</xm:sqref>
        </x14:conditionalFormatting>
        <x14:conditionalFormatting xmlns:xm="http://schemas.microsoft.com/office/excel/2006/main">
          <x14:cfRule type="iconSet" priority="418" id="{DAEF8562-BAEB-44C2-AE11-418E2F7CD814}">
            <x14:iconSet iconSet="3Symbols" custom="1">
              <x14:cfvo type="percent">
                <xm:f>0</xm:f>
              </x14:cfvo>
              <x14:cfvo type="num">
                <xm:f>0</xm:f>
              </x14:cfvo>
              <x14:cfvo type="num">
                <xm:f>0</xm:f>
              </x14:cfvo>
              <x14:cfIcon iconSet="3Symbols" iconId="2"/>
              <x14:cfIcon iconSet="3Symbols" iconId="2"/>
              <x14:cfIcon iconSet="3Symbols" iconId="2"/>
            </x14:iconSet>
          </x14:cfRule>
          <xm:sqref>X48:X49 X36:X37</xm:sqref>
        </x14:conditionalFormatting>
        <x14:conditionalFormatting xmlns:xm="http://schemas.microsoft.com/office/excel/2006/main">
          <x14:cfRule type="iconSet" priority="93" id="{B65D7B99-7671-4E4A-A1B0-657B6EDECE9C}">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94" id="{7279F5D1-964B-4043-9CC3-38797490AD0A}">
            <x14:iconSet iconSet="3Symbols" custom="1">
              <x14:cfvo type="percent">
                <xm:f>0</xm:f>
              </x14:cfvo>
              <x14:cfvo type="num">
                <xm:f>0</xm:f>
              </x14:cfvo>
              <x14:cfvo type="num">
                <xm:f>0</xm:f>
              </x14:cfvo>
              <x14:cfIcon iconSet="3Symbols" iconId="2"/>
              <x14:cfIcon iconSet="3Symbols" iconId="2"/>
              <x14:cfIcon iconSet="3Symbols" iconId="2"/>
            </x14:iconSet>
          </x14:cfRule>
          <xm:sqref>X54</xm:sqref>
        </x14:conditionalFormatting>
        <x14:conditionalFormatting xmlns:xm="http://schemas.microsoft.com/office/excel/2006/main">
          <x14:cfRule type="iconSet" priority="131" id="{A8760260-6D12-4001-A334-1718C8E04C3A}">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32" id="{B0D106FE-2B47-4F87-A42A-A54E9E79E5F6}">
            <x14:iconSet iconSet="3Symbols" custom="1">
              <x14:cfvo type="percent">
                <xm:f>0</xm:f>
              </x14:cfvo>
              <x14:cfvo type="num">
                <xm:f>0</xm:f>
              </x14:cfvo>
              <x14:cfvo type="num">
                <xm:f>0</xm:f>
              </x14:cfvo>
              <x14:cfIcon iconSet="3Symbols" iconId="2"/>
              <x14:cfIcon iconSet="3Symbols" iconId="2"/>
              <x14:cfIcon iconSet="3Symbols" iconId="2"/>
            </x14:iconSet>
          </x14:cfRule>
          <xm:sqref>AA25:AA27</xm:sqref>
        </x14:conditionalFormatting>
        <x14:conditionalFormatting xmlns:xm="http://schemas.microsoft.com/office/excel/2006/main">
          <x14:cfRule type="iconSet" priority="134" id="{D83EDF23-ED5B-49DD-9990-B477B6D2FABF}">
            <x14:iconSet iconSet="3Symbols" custom="1">
              <x14:cfvo type="percent">
                <xm:f>0</xm:f>
              </x14:cfvo>
              <x14:cfvo type="num">
                <xm:f>0</xm:f>
              </x14:cfvo>
              <x14:cfvo type="num">
                <xm:f>0</xm:f>
              </x14:cfvo>
              <x14:cfIcon iconSet="3Symbols" iconId="2"/>
              <x14:cfIcon iconSet="3Symbols" iconId="2"/>
              <x14:cfIcon iconSet="3Symbols" iconId="2"/>
            </x14:iconSet>
          </x14:cfRule>
          <xm:sqref>AA30</xm:sqref>
        </x14:conditionalFormatting>
        <x14:conditionalFormatting xmlns:xm="http://schemas.microsoft.com/office/excel/2006/main">
          <x14:cfRule type="iconSet" priority="147" id="{044D3739-E785-480F-A69D-214E9375C31F}">
            <x14:iconSet iconSet="3Symbols" custom="1">
              <x14:cfvo type="percent">
                <xm:f>0</xm:f>
              </x14:cfvo>
              <x14:cfvo type="num">
                <xm:f>0</xm:f>
              </x14:cfvo>
              <x14:cfvo type="num">
                <xm:f>0</xm:f>
              </x14:cfvo>
              <x14:cfIcon iconSet="3Symbols" iconId="2"/>
              <x14:cfIcon iconSet="3Symbols" iconId="2"/>
              <x14:cfIcon iconSet="3Symbols" iconId="2"/>
            </x14:iconSet>
          </x14:cfRule>
          <xm:sqref>AA33</xm:sqref>
        </x14:conditionalFormatting>
        <x14:conditionalFormatting xmlns:xm="http://schemas.microsoft.com/office/excel/2006/main">
          <x14:cfRule type="iconSet" priority="148" id="{E194B8FD-1C08-42BA-84BF-0DA908E865E2}">
            <x14:iconSet iconSet="3Symbols" custom="1">
              <x14:cfvo type="percent">
                <xm:f>0</xm:f>
              </x14:cfvo>
              <x14:cfvo type="num">
                <xm:f>0</xm:f>
              </x14:cfvo>
              <x14:cfvo type="num">
                <xm:f>0</xm:f>
              </x14:cfvo>
              <x14:cfIcon iconSet="3Symbols" iconId="2"/>
              <x14:cfIcon iconSet="3Symbols" iconId="2"/>
              <x14:cfIcon iconSet="3Symbols" iconId="2"/>
            </x14:iconSet>
          </x14:cfRule>
          <xm:sqref>AA34</xm:sqref>
        </x14:conditionalFormatting>
        <x14:conditionalFormatting xmlns:xm="http://schemas.microsoft.com/office/excel/2006/main">
          <x14:cfRule type="iconSet" priority="137" id="{735D1278-9034-4825-A0E4-3BD0217A7CE3}">
            <x14:iconSet iconSet="3Symbols" custom="1">
              <x14:cfvo type="percent">
                <xm:f>0</xm:f>
              </x14:cfvo>
              <x14:cfvo type="num">
                <xm:f>0</xm:f>
              </x14:cfvo>
              <x14:cfvo type="num">
                <xm:f>0</xm:f>
              </x14:cfvo>
              <x14:cfIcon iconSet="3Symbols" iconId="2"/>
              <x14:cfIcon iconSet="3Symbols" iconId="2"/>
              <x14:cfIcon iconSet="3Symbols" iconId="2"/>
            </x14:iconSet>
          </x14:cfRule>
          <xm:sqref>AA35</xm:sqref>
        </x14:conditionalFormatting>
        <x14:conditionalFormatting xmlns:xm="http://schemas.microsoft.com/office/excel/2006/main">
          <x14:cfRule type="iconSet" priority="141" id="{DF039D24-DE33-4F13-9925-C616B4F414FC}">
            <x14:iconSet iconSet="3Symbols" custom="1">
              <x14:cfvo type="percent">
                <xm:f>0</xm:f>
              </x14:cfvo>
              <x14:cfvo type="num">
                <xm:f>0</xm:f>
              </x14:cfvo>
              <x14:cfvo type="num">
                <xm:f>0</xm:f>
              </x14:cfvo>
              <x14:cfIcon iconSet="3Symbols" iconId="2"/>
              <x14:cfIcon iconSet="3Symbols" iconId="2"/>
              <x14:cfIcon iconSet="3Symbols" iconId="2"/>
            </x14:iconSet>
          </x14:cfRule>
          <xm:sqref>AA43 AA40 AA47</xm:sqref>
        </x14:conditionalFormatting>
        <x14:conditionalFormatting xmlns:xm="http://schemas.microsoft.com/office/excel/2006/main">
          <x14:cfRule type="iconSet" priority="145" id="{3784D247-D921-4ED6-8D71-9BDF96044225}">
            <x14:iconSet iconSet="3Symbols" custom="1">
              <x14:cfvo type="percent">
                <xm:f>0</xm:f>
              </x14:cfvo>
              <x14:cfvo type="num">
                <xm:f>0</xm:f>
              </x14:cfvo>
              <x14:cfvo type="num">
                <xm:f>0</xm:f>
              </x14:cfvo>
              <x14:cfIcon iconSet="3Symbols" iconId="2"/>
              <x14:cfIcon iconSet="3Symbols" iconId="2"/>
              <x14:cfIcon iconSet="3Symbols" iconId="2"/>
            </x14:iconSet>
          </x14:cfRule>
          <xm:sqref>AA44 AA41:AA42</xm:sqref>
        </x14:conditionalFormatting>
        <x14:conditionalFormatting xmlns:xm="http://schemas.microsoft.com/office/excel/2006/main">
          <x14:cfRule type="iconSet" priority="144" id="{D087FE8C-F89A-4ED6-9799-32021AAB0FEC}">
            <x14:iconSet iconSet="3Symbols" custom="1">
              <x14:cfvo type="percent">
                <xm:f>0</xm:f>
              </x14:cfvo>
              <x14:cfvo type="num">
                <xm:f>0</xm:f>
              </x14:cfvo>
              <x14:cfvo type="num">
                <xm:f>0</xm:f>
              </x14:cfvo>
              <x14:cfIcon iconSet="3Symbols" iconId="2"/>
              <x14:cfIcon iconSet="3Symbols" iconId="2"/>
              <x14:cfIcon iconSet="3Symbols" iconId="2"/>
            </x14:iconSet>
          </x14:cfRule>
          <xm:sqref>AA45:AA46 AA33</xm:sqref>
        </x14:conditionalFormatting>
        <x14:conditionalFormatting xmlns:xm="http://schemas.microsoft.com/office/excel/2006/main">
          <x14:cfRule type="iconSet" priority="143" id="{740C893A-6DD8-48D2-BED7-FB02349E85A9}">
            <x14:iconSet iconSet="3Symbols" custom="1">
              <x14:cfvo type="percent">
                <xm:f>0</xm:f>
              </x14:cfvo>
              <x14:cfvo type="num">
                <xm:f>0</xm:f>
              </x14:cfvo>
              <x14:cfvo type="num">
                <xm:f>0</xm:f>
              </x14:cfvo>
              <x14:cfIcon iconSet="3Symbols" iconId="2"/>
              <x14:cfIcon iconSet="3Symbols" iconId="2"/>
              <x14:cfIcon iconSet="3Symbols" iconId="2"/>
            </x14:iconSet>
          </x14:cfRule>
          <xm:sqref>AA45:AA46</xm:sqref>
        </x14:conditionalFormatting>
        <x14:conditionalFormatting xmlns:xm="http://schemas.microsoft.com/office/excel/2006/main">
          <x14:cfRule type="iconSet" priority="142" id="{0BA45B89-E253-4DE9-BA9B-A3B6C25CA0DC}">
            <x14:iconSet iconSet="3Symbols" custom="1">
              <x14:cfvo type="percent">
                <xm:f>0</xm:f>
              </x14:cfvo>
              <x14:cfvo type="num">
                <xm:f>0</xm:f>
              </x14:cfvo>
              <x14:cfvo type="num">
                <xm:f>0</xm:f>
              </x14:cfvo>
              <x14:cfIcon iconSet="3Symbols" iconId="2"/>
              <x14:cfIcon iconSet="3Symbols" iconId="2"/>
              <x14:cfIcon iconSet="3Symbols" iconId="2"/>
            </x14:iconSet>
          </x14:cfRule>
          <xm:sqref>AA48:AA49 AA36:AA37</xm:sqref>
        </x14:conditionalFormatting>
        <x14:conditionalFormatting xmlns:xm="http://schemas.microsoft.com/office/excel/2006/main">
          <x14:cfRule type="iconSet" priority="90" id="{E7F9D01A-8ED6-48F4-AD30-420A96E6EBDE}">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91" id="{A53340EC-D9D9-4603-8F1A-965B9C68B778}">
            <x14:iconSet iconSet="3Symbols" custom="1">
              <x14:cfvo type="percent">
                <xm:f>0</xm:f>
              </x14:cfvo>
              <x14:cfvo type="num">
                <xm:f>0</xm:f>
              </x14:cfvo>
              <x14:cfvo type="num">
                <xm:f>0</xm:f>
              </x14:cfvo>
              <x14:cfIcon iconSet="3Symbols" iconId="2"/>
              <x14:cfIcon iconSet="3Symbols" iconId="2"/>
              <x14:cfIcon iconSet="3Symbols" iconId="2"/>
            </x14:iconSet>
          </x14:cfRule>
          <xm:sqref>AA54</xm:sqref>
        </x14:conditionalFormatting>
        <x14:conditionalFormatting xmlns:xm="http://schemas.microsoft.com/office/excel/2006/main">
          <x14:cfRule type="iconSet" priority="20" id="{864AB223-35BC-413D-95E2-1671C4729D91}">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9" id="{A3755CE5-25F2-48C9-B4C2-F9820FE823CD}">
            <x14:iconSet iconSet="3Symbols" custom="1">
              <x14:cfvo type="percent">
                <xm:f>0</xm:f>
              </x14:cfvo>
              <x14:cfvo type="num">
                <xm:f>0</xm:f>
              </x14:cfvo>
              <x14:cfvo type="num">
                <xm:f>0</xm:f>
              </x14:cfvo>
              <x14:cfIcon iconSet="3Symbols" iconId="2"/>
              <x14:cfIcon iconSet="3Symbols" iconId="2"/>
              <x14:cfIcon iconSet="3Symbols" iconId="2"/>
            </x14:iconSet>
          </x14:cfRule>
          <xm:sqref>AD25:AD27</xm:sqref>
        </x14:conditionalFormatting>
        <x14:conditionalFormatting xmlns:xm="http://schemas.microsoft.com/office/excel/2006/main">
          <x14:cfRule type="iconSet" priority="22" id="{B6268CD7-1AE0-4BA6-BB28-9A1F35836B35}">
            <x14:iconSet iconSet="3Symbols" custom="1">
              <x14:cfvo type="percent">
                <xm:f>0</xm:f>
              </x14:cfvo>
              <x14:cfvo type="num">
                <xm:f>0</xm:f>
              </x14:cfvo>
              <x14:cfvo type="num">
                <xm:f>0</xm:f>
              </x14:cfvo>
              <x14:cfIcon iconSet="3Symbols" iconId="2"/>
              <x14:cfIcon iconSet="3Symbols" iconId="2"/>
              <x14:cfIcon iconSet="3Symbols" iconId="2"/>
            </x14:iconSet>
          </x14:cfRule>
          <xm:sqref>AD30</xm:sqref>
        </x14:conditionalFormatting>
        <x14:conditionalFormatting xmlns:xm="http://schemas.microsoft.com/office/excel/2006/main">
          <x14:cfRule type="iconSet" priority="35" id="{4FC973B2-9BA8-4FDF-923D-0079EC2C6329}">
            <x14:iconSet iconSet="3Symbols" custom="1">
              <x14:cfvo type="percent">
                <xm:f>0</xm:f>
              </x14:cfvo>
              <x14:cfvo type="num">
                <xm:f>0</xm:f>
              </x14:cfvo>
              <x14:cfvo type="num">
                <xm:f>0</xm:f>
              </x14:cfvo>
              <x14:cfIcon iconSet="3Symbols" iconId="2"/>
              <x14:cfIcon iconSet="3Symbols" iconId="2"/>
              <x14:cfIcon iconSet="3Symbols" iconId="2"/>
            </x14:iconSet>
          </x14:cfRule>
          <xm:sqref>AD33</xm:sqref>
        </x14:conditionalFormatting>
        <x14:conditionalFormatting xmlns:xm="http://schemas.microsoft.com/office/excel/2006/main">
          <x14:cfRule type="iconSet" priority="36" id="{7365CE8A-D59C-4070-8DFD-3F22518D856E}">
            <x14:iconSet iconSet="3Symbols" custom="1">
              <x14:cfvo type="percent">
                <xm:f>0</xm:f>
              </x14:cfvo>
              <x14:cfvo type="num">
                <xm:f>0</xm:f>
              </x14:cfvo>
              <x14:cfvo type="num">
                <xm:f>0</xm:f>
              </x14:cfvo>
              <x14:cfIcon iconSet="3Symbols" iconId="2"/>
              <x14:cfIcon iconSet="3Symbols" iconId="2"/>
              <x14:cfIcon iconSet="3Symbols" iconId="2"/>
            </x14:iconSet>
          </x14:cfRule>
          <xm:sqref>AD34</xm:sqref>
        </x14:conditionalFormatting>
        <x14:conditionalFormatting xmlns:xm="http://schemas.microsoft.com/office/excel/2006/main">
          <x14:cfRule type="iconSet" priority="25" id="{060B554F-C181-45EB-94F5-74963470F541}">
            <x14:iconSet iconSet="3Symbols" custom="1">
              <x14:cfvo type="percent">
                <xm:f>0</xm:f>
              </x14:cfvo>
              <x14:cfvo type="num">
                <xm:f>0</xm:f>
              </x14:cfvo>
              <x14:cfvo type="num">
                <xm:f>0</xm:f>
              </x14:cfvo>
              <x14:cfIcon iconSet="3Symbols" iconId="2"/>
              <x14:cfIcon iconSet="3Symbols" iconId="2"/>
              <x14:cfIcon iconSet="3Symbols" iconId="2"/>
            </x14:iconSet>
          </x14:cfRule>
          <xm:sqref>AD35</xm:sqref>
        </x14:conditionalFormatting>
        <x14:conditionalFormatting xmlns:xm="http://schemas.microsoft.com/office/excel/2006/main">
          <x14:cfRule type="iconSet" priority="29" id="{927AC25C-DCEC-4F2B-A7B6-A6530569C00D}">
            <x14:iconSet iconSet="3Symbols" custom="1">
              <x14:cfvo type="percent">
                <xm:f>0</xm:f>
              </x14:cfvo>
              <x14:cfvo type="num">
                <xm:f>0</xm:f>
              </x14:cfvo>
              <x14:cfvo type="num">
                <xm:f>0</xm:f>
              </x14:cfvo>
              <x14:cfIcon iconSet="3Symbols" iconId="2"/>
              <x14:cfIcon iconSet="3Symbols" iconId="2"/>
              <x14:cfIcon iconSet="3Symbols" iconId="2"/>
            </x14:iconSet>
          </x14:cfRule>
          <xm:sqref>AD43 AD40 AD47</xm:sqref>
        </x14:conditionalFormatting>
        <x14:conditionalFormatting xmlns:xm="http://schemas.microsoft.com/office/excel/2006/main">
          <x14:cfRule type="iconSet" priority="33" id="{5592E802-C571-4664-9EC2-7B4F00E88129}">
            <x14:iconSet iconSet="3Symbols" custom="1">
              <x14:cfvo type="percent">
                <xm:f>0</xm:f>
              </x14:cfvo>
              <x14:cfvo type="num">
                <xm:f>0</xm:f>
              </x14:cfvo>
              <x14:cfvo type="num">
                <xm:f>0</xm:f>
              </x14:cfvo>
              <x14:cfIcon iconSet="3Symbols" iconId="2"/>
              <x14:cfIcon iconSet="3Symbols" iconId="2"/>
              <x14:cfIcon iconSet="3Symbols" iconId="2"/>
            </x14:iconSet>
          </x14:cfRule>
          <xm:sqref>AD44 AD41:AD42</xm:sqref>
        </x14:conditionalFormatting>
        <x14:conditionalFormatting xmlns:xm="http://schemas.microsoft.com/office/excel/2006/main">
          <x14:cfRule type="iconSet" priority="32" id="{ECEC173F-666F-47FE-BA0F-1474A054E5D0}">
            <x14:iconSet iconSet="3Symbols" custom="1">
              <x14:cfvo type="percent">
                <xm:f>0</xm:f>
              </x14:cfvo>
              <x14:cfvo type="num">
                <xm:f>0</xm:f>
              </x14:cfvo>
              <x14:cfvo type="num">
                <xm:f>0</xm:f>
              </x14:cfvo>
              <x14:cfIcon iconSet="3Symbols" iconId="2"/>
              <x14:cfIcon iconSet="3Symbols" iconId="2"/>
              <x14:cfIcon iconSet="3Symbols" iconId="2"/>
            </x14:iconSet>
          </x14:cfRule>
          <xm:sqref>AD45:AD46 AD33</xm:sqref>
        </x14:conditionalFormatting>
        <x14:conditionalFormatting xmlns:xm="http://schemas.microsoft.com/office/excel/2006/main">
          <x14:cfRule type="iconSet" priority="31" id="{65ACC855-5FF9-475C-93DB-84728DBDE9E1}">
            <x14:iconSet iconSet="3Symbols" custom="1">
              <x14:cfvo type="percent">
                <xm:f>0</xm:f>
              </x14:cfvo>
              <x14:cfvo type="num">
                <xm:f>0</xm:f>
              </x14:cfvo>
              <x14:cfvo type="num">
                <xm:f>0</xm:f>
              </x14:cfvo>
              <x14:cfIcon iconSet="3Symbols" iconId="2"/>
              <x14:cfIcon iconSet="3Symbols" iconId="2"/>
              <x14:cfIcon iconSet="3Symbols" iconId="2"/>
            </x14:iconSet>
          </x14:cfRule>
          <xm:sqref>AD45:AD46</xm:sqref>
        </x14:conditionalFormatting>
        <x14:conditionalFormatting xmlns:xm="http://schemas.microsoft.com/office/excel/2006/main">
          <x14:cfRule type="iconSet" priority="30" id="{26294E02-9112-4FD9-BBC2-AB9175B1E533}">
            <x14:iconSet iconSet="3Symbols" custom="1">
              <x14:cfvo type="percent">
                <xm:f>0</xm:f>
              </x14:cfvo>
              <x14:cfvo type="num">
                <xm:f>0</xm:f>
              </x14:cfvo>
              <x14:cfvo type="num">
                <xm:f>0</xm:f>
              </x14:cfvo>
              <x14:cfIcon iconSet="3Symbols" iconId="2"/>
              <x14:cfIcon iconSet="3Symbols" iconId="2"/>
              <x14:cfIcon iconSet="3Symbols" iconId="2"/>
            </x14:iconSet>
          </x14:cfRule>
          <xm:sqref>AD48:AD49 AD36:AD37</xm:sqref>
        </x14:conditionalFormatting>
        <x14:conditionalFormatting xmlns:xm="http://schemas.microsoft.com/office/excel/2006/main">
          <x14:cfRule type="iconSet" priority="17" id="{BC112C38-5467-48A2-A9A3-1E5EFCF30C2F}">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18" id="{CAF260FD-F18D-4F1B-8550-E60B664CD199}">
            <x14:iconSet iconSet="3Symbols" custom="1">
              <x14:cfvo type="percent">
                <xm:f>0</xm:f>
              </x14:cfvo>
              <x14:cfvo type="num">
                <xm:f>0</xm:f>
              </x14:cfvo>
              <x14:cfvo type="num">
                <xm:f>0</xm:f>
              </x14:cfvo>
              <x14:cfIcon iconSet="3Symbols" iconId="2"/>
              <x14:cfIcon iconSet="3Symbols" iconId="2"/>
              <x14:cfIcon iconSet="3Symbols" iconId="2"/>
            </x14:iconSet>
          </x14:cfRule>
          <xm:sqref>AD54</xm:sqref>
        </x14:conditionalFormatting>
        <x14:conditionalFormatting xmlns:xm="http://schemas.microsoft.com/office/excel/2006/main">
          <x14:cfRule type="iconSet" priority="3033" id="{CECD31A7-EB2B-4650-8BA7-A81A5F05BA31}">
            <x14:iconSet iconSet="3Symbols" custom="1">
              <x14:cfvo type="percent">
                <xm:f>0</xm:f>
              </x14:cfvo>
              <x14:cfvo type="num">
                <xm:f>0</xm:f>
              </x14:cfvo>
              <x14:cfvo type="num">
                <xm:f>0</xm:f>
              </x14:cfvo>
              <x14:cfIcon iconSet="3Symbols" iconId="2"/>
              <x14:cfIcon iconSet="3Symbols" iconId="2"/>
              <x14:cfIcon iconSet="3Symbols" iconId="2"/>
            </x14:iconSet>
          </x14:cfRule>
          <xm:sqref>AG25:AG27</xm:sqref>
        </x14:conditionalFormatting>
        <x14:conditionalFormatting xmlns:xm="http://schemas.microsoft.com/office/excel/2006/main">
          <x14:cfRule type="iconSet" priority="3034" id="{C3CC2E17-8A20-41C9-86A5-7E4A84971E21}">
            <x14:iconSet iconSet="3Symbols" custom="1">
              <x14:cfvo type="percent">
                <xm:f>0</xm:f>
              </x14:cfvo>
              <x14:cfvo type="num">
                <xm:f>0</xm:f>
              </x14:cfvo>
              <x14:cfvo type="num">
                <xm:f>0</xm:f>
              </x14:cfvo>
              <x14:cfIcon iconSet="3Symbols" iconId="2"/>
              <x14:cfIcon iconSet="3Symbols" iconId="2"/>
              <x14:cfIcon iconSet="3Symbols" iconId="2"/>
            </x14:iconSet>
          </x14:cfRule>
          <xm:sqref>AG30</xm:sqref>
        </x14:conditionalFormatting>
        <x14:conditionalFormatting xmlns:xm="http://schemas.microsoft.com/office/excel/2006/main">
          <x14:cfRule type="iconSet" priority="3297" id="{FB713392-A128-47C0-9309-183FBFB75CBF}">
            <x14:iconSet iconSet="3Symbols" custom="1">
              <x14:cfvo type="percent">
                <xm:f>0</xm:f>
              </x14:cfvo>
              <x14:cfvo type="num">
                <xm:f>0</xm:f>
              </x14:cfvo>
              <x14:cfvo type="num">
                <xm:f>0</xm:f>
              </x14:cfvo>
              <x14:cfIcon iconSet="3Symbols" iconId="2"/>
              <x14:cfIcon iconSet="3Symbols" iconId="2"/>
              <x14:cfIcon iconSet="3Symbols" iconId="2"/>
            </x14:iconSet>
          </x14:cfRule>
          <xm:sqref>AG33</xm:sqref>
        </x14:conditionalFormatting>
        <x14:conditionalFormatting xmlns:xm="http://schemas.microsoft.com/office/excel/2006/main">
          <x14:cfRule type="iconSet" priority="3304" id="{1BB4DB36-5864-474F-A2A4-CD11E5410D99}">
            <x14:iconSet iconSet="3Symbols" custom="1">
              <x14:cfvo type="percent">
                <xm:f>0</xm:f>
              </x14:cfvo>
              <x14:cfvo type="num">
                <xm:f>0</xm:f>
              </x14:cfvo>
              <x14:cfvo type="num">
                <xm:f>0</xm:f>
              </x14:cfvo>
              <x14:cfIcon iconSet="3Symbols" iconId="2"/>
              <x14:cfIcon iconSet="3Symbols" iconId="2"/>
              <x14:cfIcon iconSet="3Symbols" iconId="2"/>
            </x14:iconSet>
          </x14:cfRule>
          <xm:sqref>AG34</xm:sqref>
        </x14:conditionalFormatting>
        <x14:conditionalFormatting xmlns:xm="http://schemas.microsoft.com/office/excel/2006/main">
          <x14:cfRule type="iconSet" priority="2965" id="{D3B8C917-D878-4F34-812F-C1155098BB0A}">
            <x14:iconSet iconSet="3Symbols" custom="1">
              <x14:cfvo type="percent">
                <xm:f>0</xm:f>
              </x14:cfvo>
              <x14:cfvo type="num">
                <xm:f>0</xm:f>
              </x14:cfvo>
              <x14:cfvo type="num">
                <xm:f>0</xm:f>
              </x14:cfvo>
              <x14:cfIcon iconSet="3Symbols" iconId="2"/>
              <x14:cfIcon iconSet="3Symbols" iconId="2"/>
              <x14:cfIcon iconSet="3Symbols" iconId="2"/>
            </x14:iconSet>
          </x14:cfRule>
          <xm:sqref>AG35</xm:sqref>
        </x14:conditionalFormatting>
        <x14:conditionalFormatting xmlns:xm="http://schemas.microsoft.com/office/excel/2006/main">
          <x14:cfRule type="iconSet" priority="2941" id="{F922150C-3953-40C2-9149-4A2CB99086AD}">
            <x14:iconSet iconSet="3Symbols" custom="1">
              <x14:cfvo type="percent">
                <xm:f>0</xm:f>
              </x14:cfvo>
              <x14:cfvo type="num">
                <xm:f>0</xm:f>
              </x14:cfvo>
              <x14:cfvo type="num">
                <xm:f>0</xm:f>
              </x14:cfvo>
              <x14:cfIcon iconSet="3Symbols" iconId="2"/>
              <x14:cfIcon iconSet="3Symbols" iconId="2"/>
              <x14:cfIcon iconSet="3Symbols" iconId="2"/>
            </x14:iconSet>
          </x14:cfRule>
          <xm:sqref>AG43 AG40 AG47</xm:sqref>
        </x14:conditionalFormatting>
        <x14:conditionalFormatting xmlns:xm="http://schemas.microsoft.com/office/excel/2006/main">
          <x14:cfRule type="iconSet" priority="2967" id="{7FC6C02F-6126-456D-B81C-8D5A4C4EA0DC}">
            <x14:iconSet iconSet="3Symbols" custom="1">
              <x14:cfvo type="percent">
                <xm:f>0</xm:f>
              </x14:cfvo>
              <x14:cfvo type="num">
                <xm:f>0</xm:f>
              </x14:cfvo>
              <x14:cfvo type="num">
                <xm:f>0</xm:f>
              </x14:cfvo>
              <x14:cfIcon iconSet="3Symbols" iconId="2"/>
              <x14:cfIcon iconSet="3Symbols" iconId="2"/>
              <x14:cfIcon iconSet="3Symbols" iconId="2"/>
            </x14:iconSet>
          </x14:cfRule>
          <xm:sqref>AG44 AG41:AG42</xm:sqref>
        </x14:conditionalFormatting>
        <x14:conditionalFormatting xmlns:xm="http://schemas.microsoft.com/office/excel/2006/main">
          <x14:cfRule type="iconSet" priority="2957" id="{33E29C18-B7BD-4CBA-82C5-29B5E9F19B66}">
            <x14:iconSet iconSet="3Symbols" custom="1">
              <x14:cfvo type="percent">
                <xm:f>0</xm:f>
              </x14:cfvo>
              <x14:cfvo type="num">
                <xm:f>0</xm:f>
              </x14:cfvo>
              <x14:cfvo type="num">
                <xm:f>0</xm:f>
              </x14:cfvo>
              <x14:cfIcon iconSet="3Symbols" iconId="2"/>
              <x14:cfIcon iconSet="3Symbols" iconId="2"/>
              <x14:cfIcon iconSet="3Symbols" iconId="2"/>
            </x14:iconSet>
          </x14:cfRule>
          <xm:sqref>AG45:AG46 AG33</xm:sqref>
        </x14:conditionalFormatting>
        <x14:conditionalFormatting xmlns:xm="http://schemas.microsoft.com/office/excel/2006/main">
          <x14:cfRule type="iconSet" priority="2955" id="{2780876A-7A86-46F9-8748-D41680A90D7F}">
            <x14:iconSet iconSet="3Symbols" custom="1">
              <x14:cfvo type="percent">
                <xm:f>0</xm:f>
              </x14:cfvo>
              <x14:cfvo type="num">
                <xm:f>0</xm:f>
              </x14:cfvo>
              <x14:cfvo type="num">
                <xm:f>0</xm:f>
              </x14:cfvo>
              <x14:cfIcon iconSet="3Symbols" iconId="2"/>
              <x14:cfIcon iconSet="3Symbols" iconId="2"/>
              <x14:cfIcon iconSet="3Symbols" iconId="2"/>
            </x14:iconSet>
          </x14:cfRule>
          <xm:sqref>AG45:AG46</xm:sqref>
        </x14:conditionalFormatting>
        <x14:conditionalFormatting xmlns:xm="http://schemas.microsoft.com/office/excel/2006/main">
          <x14:cfRule type="iconSet" priority="2947" id="{ABF05030-3F72-4924-B48D-CDF8D7F08E80}">
            <x14:iconSet iconSet="3Symbols" custom="1">
              <x14:cfvo type="percent">
                <xm:f>0</xm:f>
              </x14:cfvo>
              <x14:cfvo type="num">
                <xm:f>0</xm:f>
              </x14:cfvo>
              <x14:cfvo type="num">
                <xm:f>0</xm:f>
              </x14:cfvo>
              <x14:cfIcon iconSet="3Symbols" iconId="2"/>
              <x14:cfIcon iconSet="3Symbols" iconId="2"/>
              <x14:cfIcon iconSet="3Symbols" iconId="2"/>
            </x14:iconSet>
          </x14:cfRule>
          <xm:sqref>AG48:AG49 AG36:AG37</xm:sqref>
        </x14:conditionalFormatting>
        <x14:conditionalFormatting xmlns:xm="http://schemas.microsoft.com/office/excel/2006/main">
          <x14:cfRule type="iconSet" priority="85" id="{BE66556B-5E3D-463A-8CE4-8520117AB83A}">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84" id="{0B016AA7-AE01-49DE-88FB-709E8788E80C}">
            <x14:iconSet iconSet="3Symbols" custom="1">
              <x14:cfvo type="percent">
                <xm:f>0</xm:f>
              </x14:cfvo>
              <x14:cfvo type="num">
                <xm:f>0</xm:f>
              </x14:cfvo>
              <x14:cfvo type="num">
                <xm:f>0</xm:f>
              </x14:cfvo>
              <x14:cfIcon iconSet="3Symbols" iconId="2"/>
              <x14:cfIcon iconSet="3Symbols" iconId="2"/>
              <x14:cfIcon iconSet="3Symbols" iconId="2"/>
            </x14:iconSet>
          </x14:cfRule>
          <xm:sqref>AG54</xm:sqref>
        </x14:conditionalFormatting>
        <x14:conditionalFormatting xmlns:xm="http://schemas.microsoft.com/office/excel/2006/main">
          <x14:cfRule type="iconSet" priority="203" id="{C21BA48F-1775-4A07-B197-A5404006CD26}">
            <x14:iconSet iconSet="3Symbols" custom="1">
              <x14:cfvo type="percent">
                <xm:f>0</xm:f>
              </x14:cfvo>
              <x14:cfvo type="num">
                <xm:f>0</xm:f>
              </x14:cfvo>
              <x14:cfvo type="num">
                <xm:f>0</xm:f>
              </x14:cfvo>
              <x14:cfIcon iconSet="3Symbols" iconId="2"/>
              <x14:cfIcon iconSet="3Symbols" iconId="2"/>
              <x14:cfIcon iconSet="3Symbols" iconId="2"/>
            </x14:iconSet>
          </x14:cfRule>
          <xm:sqref>AJ25:AJ26</xm:sqref>
        </x14:conditionalFormatting>
        <x14:conditionalFormatting xmlns:xm="http://schemas.microsoft.com/office/excel/2006/main">
          <x14:cfRule type="iconSet" priority="248" id="{5BC5BA51-02C5-4136-8926-AE18350C7E21}">
            <x14:iconSet iconSet="3Symbols" custom="1">
              <x14:cfvo type="percent">
                <xm:f>0</xm:f>
              </x14:cfvo>
              <x14:cfvo type="num">
                <xm:f>0</xm:f>
              </x14:cfvo>
              <x14:cfvo type="num">
                <xm:f>0</xm:f>
              </x14:cfvo>
              <x14:cfIcon iconSet="3Symbols" iconId="2"/>
              <x14:cfIcon iconSet="3Symbols" iconId="2"/>
              <x14:cfIcon iconSet="3Symbols" iconId="2"/>
            </x14:iconSet>
          </x14:cfRule>
          <xm:sqref>AJ27</xm:sqref>
        </x14:conditionalFormatting>
        <x14:conditionalFormatting xmlns:xm="http://schemas.microsoft.com/office/excel/2006/main">
          <x14:cfRule type="iconSet" priority="246" id="{C87BD5C1-BB25-4AB7-A5A3-D33E0A1A1EB4}">
            <x14:iconSet iconSet="3Symbols" custom="1">
              <x14:cfvo type="percent">
                <xm:f>0</xm:f>
              </x14:cfvo>
              <x14:cfvo type="num">
                <xm:f>0</xm:f>
              </x14:cfvo>
              <x14:cfvo type="num">
                <xm:f>0</xm:f>
              </x14:cfvo>
              <x14:cfIcon iconSet="3Symbols" iconId="2"/>
              <x14:cfIcon iconSet="3Symbols" iconId="2"/>
              <x14:cfIcon iconSet="3Symbols" iconId="2"/>
            </x14:iconSet>
          </x14:cfRule>
          <xm:sqref>AJ30</xm:sqref>
        </x14:conditionalFormatting>
        <x14:conditionalFormatting xmlns:xm="http://schemas.microsoft.com/office/excel/2006/main">
          <x14:cfRule type="iconSet" priority="3257" id="{E0FB0E4B-D84E-49A1-9BBE-B7EB60C0D968}">
            <x14:iconSet iconSet="3Symbols" custom="1">
              <x14:cfvo type="percent">
                <xm:f>0</xm:f>
              </x14:cfvo>
              <x14:cfvo type="num">
                <xm:f>0</xm:f>
              </x14:cfvo>
              <x14:cfvo type="num">
                <xm:f>0</xm:f>
              </x14:cfvo>
              <x14:cfIcon iconSet="3Symbols" iconId="2"/>
              <x14:cfIcon iconSet="3Symbols" iconId="2"/>
              <x14:cfIcon iconSet="3Symbols" iconId="2"/>
            </x14:iconSet>
          </x14:cfRule>
          <xm:sqref>AJ33</xm:sqref>
        </x14:conditionalFormatting>
        <x14:conditionalFormatting xmlns:xm="http://schemas.microsoft.com/office/excel/2006/main">
          <x14:cfRule type="iconSet" priority="3264" id="{B78449D3-2113-4C77-9AFE-AAE7D02FFF1F}">
            <x14:iconSet iconSet="3Symbols" custom="1">
              <x14:cfvo type="percent">
                <xm:f>0</xm:f>
              </x14:cfvo>
              <x14:cfvo type="num">
                <xm:f>0</xm:f>
              </x14:cfvo>
              <x14:cfvo type="num">
                <xm:f>0</xm:f>
              </x14:cfvo>
              <x14:cfIcon iconSet="3Symbols" iconId="2"/>
              <x14:cfIcon iconSet="3Symbols" iconId="2"/>
              <x14:cfIcon iconSet="3Symbols" iconId="2"/>
            </x14:iconSet>
          </x14:cfRule>
          <xm:sqref>AJ34</xm:sqref>
        </x14:conditionalFormatting>
        <x14:conditionalFormatting xmlns:xm="http://schemas.microsoft.com/office/excel/2006/main">
          <x14:cfRule type="iconSet" priority="332" id="{47A88664-6729-4B3C-9796-0BE2540EDF92}">
            <x14:iconSet iconSet="3Symbols" custom="1">
              <x14:cfvo type="percent">
                <xm:f>0</xm:f>
              </x14:cfvo>
              <x14:cfvo type="num">
                <xm:f>0</xm:f>
              </x14:cfvo>
              <x14:cfvo type="num">
                <xm:f>0</xm:f>
              </x14:cfvo>
              <x14:cfIcon iconSet="3Symbols" iconId="2"/>
              <x14:cfIcon iconSet="3Symbols" iconId="2"/>
              <x14:cfIcon iconSet="3Symbols" iconId="2"/>
            </x14:iconSet>
          </x14:cfRule>
          <xm:sqref>AJ35</xm:sqref>
        </x14:conditionalFormatting>
        <x14:conditionalFormatting xmlns:xm="http://schemas.microsoft.com/office/excel/2006/main">
          <x14:cfRule type="iconSet" priority="339" id="{76B51280-E652-4154-A3B8-14012D01A00D}">
            <x14:iconSet iconSet="3Symbols" custom="1">
              <x14:cfvo type="percent">
                <xm:f>0</xm:f>
              </x14:cfvo>
              <x14:cfvo type="num">
                <xm:f>0</xm:f>
              </x14:cfvo>
              <x14:cfvo type="num">
                <xm:f>0</xm:f>
              </x14:cfvo>
              <x14:cfIcon iconSet="3Symbols" iconId="2"/>
              <x14:cfIcon iconSet="3Symbols" iconId="2"/>
              <x14:cfIcon iconSet="3Symbols" iconId="2"/>
            </x14:iconSet>
          </x14:cfRule>
          <xm:sqref>AJ43 AJ40 AJ47</xm:sqref>
        </x14:conditionalFormatting>
        <x14:conditionalFormatting xmlns:xm="http://schemas.microsoft.com/office/excel/2006/main">
          <x14:cfRule type="iconSet" priority="343" id="{18C89396-C926-4922-993B-E7413027B2EB}">
            <x14:iconSet iconSet="3Symbols" custom="1">
              <x14:cfvo type="percent">
                <xm:f>0</xm:f>
              </x14:cfvo>
              <x14:cfvo type="num">
                <xm:f>0</xm:f>
              </x14:cfvo>
              <x14:cfvo type="num">
                <xm:f>0</xm:f>
              </x14:cfvo>
              <x14:cfIcon iconSet="3Symbols" iconId="2"/>
              <x14:cfIcon iconSet="3Symbols" iconId="2"/>
              <x14:cfIcon iconSet="3Symbols" iconId="2"/>
            </x14:iconSet>
          </x14:cfRule>
          <xm:sqref>AJ44 AJ41:AJ42</xm:sqref>
        </x14:conditionalFormatting>
        <x14:conditionalFormatting xmlns:xm="http://schemas.microsoft.com/office/excel/2006/main">
          <x14:cfRule type="iconSet" priority="342" id="{237F1BB8-E2E1-4DA2-A571-14B75A9541C7}">
            <x14:iconSet iconSet="3Symbols" custom="1">
              <x14:cfvo type="percent">
                <xm:f>0</xm:f>
              </x14:cfvo>
              <x14:cfvo type="num">
                <xm:f>0</xm:f>
              </x14:cfvo>
              <x14:cfvo type="num">
                <xm:f>0</xm:f>
              </x14:cfvo>
              <x14:cfIcon iconSet="3Symbols" iconId="2"/>
              <x14:cfIcon iconSet="3Symbols" iconId="2"/>
              <x14:cfIcon iconSet="3Symbols" iconId="2"/>
            </x14:iconSet>
          </x14:cfRule>
          <xm:sqref>AJ45:AJ46 AJ33</xm:sqref>
        </x14:conditionalFormatting>
        <x14:conditionalFormatting xmlns:xm="http://schemas.microsoft.com/office/excel/2006/main">
          <x14:cfRule type="iconSet" priority="341" id="{D22D2E9C-E2BB-47CE-A2A2-B8CC49C55E14}">
            <x14:iconSet iconSet="3Symbols" custom="1">
              <x14:cfvo type="percent">
                <xm:f>0</xm:f>
              </x14:cfvo>
              <x14:cfvo type="num">
                <xm:f>0</xm:f>
              </x14:cfvo>
              <x14:cfvo type="num">
                <xm:f>0</xm:f>
              </x14:cfvo>
              <x14:cfIcon iconSet="3Symbols" iconId="2"/>
              <x14:cfIcon iconSet="3Symbols" iconId="2"/>
              <x14:cfIcon iconSet="3Symbols" iconId="2"/>
            </x14:iconSet>
          </x14:cfRule>
          <xm:sqref>AJ45:AJ46</xm:sqref>
        </x14:conditionalFormatting>
        <x14:conditionalFormatting xmlns:xm="http://schemas.microsoft.com/office/excel/2006/main">
          <x14:cfRule type="iconSet" priority="340" id="{FCE3B6E1-8979-48D6-BE67-E85B3226FB57}">
            <x14:iconSet iconSet="3Symbols" custom="1">
              <x14:cfvo type="percent">
                <xm:f>0</xm:f>
              </x14:cfvo>
              <x14:cfvo type="num">
                <xm:f>0</xm:f>
              </x14:cfvo>
              <x14:cfvo type="num">
                <xm:f>0</xm:f>
              </x14:cfvo>
              <x14:cfIcon iconSet="3Symbols" iconId="2"/>
              <x14:cfIcon iconSet="3Symbols" iconId="2"/>
              <x14:cfIcon iconSet="3Symbols" iconId="2"/>
            </x14:iconSet>
          </x14:cfRule>
          <xm:sqref>AJ48:AJ49 AJ36:AJ37</xm:sqref>
        </x14:conditionalFormatting>
        <x14:conditionalFormatting xmlns:xm="http://schemas.microsoft.com/office/excel/2006/main">
          <x14:cfRule type="iconSet" priority="75" id="{24C6AC27-85F0-427B-8F31-2A17313DA367}">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76" id="{922736BB-C2CC-4383-8C9C-92DADF75514B}">
            <x14:iconSet iconSet="3Symbols" custom="1">
              <x14:cfvo type="percent">
                <xm:f>0</xm:f>
              </x14:cfvo>
              <x14:cfvo type="num">
                <xm:f>0</xm:f>
              </x14:cfvo>
              <x14:cfvo type="num">
                <xm:f>0</xm:f>
              </x14:cfvo>
              <x14:cfIcon iconSet="3Symbols" iconId="2"/>
              <x14:cfIcon iconSet="3Symbols" iconId="2"/>
              <x14:cfIcon iconSet="3Symbols" iconId="2"/>
            </x14:iconSet>
          </x14:cfRule>
          <xm:sqref>AJ54</xm:sqref>
        </x14:conditionalFormatting>
        <x14:conditionalFormatting xmlns:xm="http://schemas.microsoft.com/office/excel/2006/main">
          <x14:cfRule type="iconSet" priority="236" id="{1DA94928-5B9B-4552-AB8A-8B4F468C4C3C}">
            <x14:iconSet iconSet="3Symbols" custom="1">
              <x14:cfvo type="percent">
                <xm:f>0</xm:f>
              </x14:cfvo>
              <x14:cfvo type="num">
                <xm:f>0</xm:f>
              </x14:cfvo>
              <x14:cfvo type="num">
                <xm:f>0</xm:f>
              </x14:cfvo>
              <x14:cfIcon iconSet="3Symbols" iconId="2"/>
              <x14:cfIcon iconSet="3Symbols" iconId="2"/>
              <x14:cfIcon iconSet="3Symbols" iconId="2"/>
            </x14:iconSet>
          </x14:cfRule>
          <xm:sqref>AM25:AM27</xm:sqref>
        </x14:conditionalFormatting>
        <x14:conditionalFormatting xmlns:xm="http://schemas.microsoft.com/office/excel/2006/main">
          <x14:cfRule type="iconSet" priority="234" id="{952E0810-F53A-4EFC-A9C1-C00359396A50}">
            <x14:iconSet iconSet="3Symbols" custom="1">
              <x14:cfvo type="percent">
                <xm:f>0</xm:f>
              </x14:cfvo>
              <x14:cfvo type="num">
                <xm:f>0</xm:f>
              </x14:cfvo>
              <x14:cfvo type="num">
                <xm:f>0</xm:f>
              </x14:cfvo>
              <x14:cfIcon iconSet="3Symbols" iconId="2"/>
              <x14:cfIcon iconSet="3Symbols" iconId="2"/>
              <x14:cfIcon iconSet="3Symbols" iconId="2"/>
            </x14:iconSet>
          </x14:cfRule>
          <xm:sqref>AM30</xm:sqref>
        </x14:conditionalFormatting>
        <x14:conditionalFormatting xmlns:xm="http://schemas.microsoft.com/office/excel/2006/main">
          <x14:cfRule type="iconSet" priority="3277" id="{E020C7F3-7CD7-4E14-90AB-5EA19585E843}">
            <x14:iconSet iconSet="3Symbols" custom="1">
              <x14:cfvo type="percent">
                <xm:f>0</xm:f>
              </x14:cfvo>
              <x14:cfvo type="num">
                <xm:f>0</xm:f>
              </x14:cfvo>
              <x14:cfvo type="num">
                <xm:f>0</xm:f>
              </x14:cfvo>
              <x14:cfIcon iconSet="3Symbols" iconId="2"/>
              <x14:cfIcon iconSet="3Symbols" iconId="2"/>
              <x14:cfIcon iconSet="3Symbols" iconId="2"/>
            </x14:iconSet>
          </x14:cfRule>
          <xm:sqref>AM33</xm:sqref>
        </x14:conditionalFormatting>
        <x14:conditionalFormatting xmlns:xm="http://schemas.microsoft.com/office/excel/2006/main">
          <x14:cfRule type="iconSet" priority="3284" id="{78A05C9C-4AB8-4F0B-A816-A20F596E3CFF}">
            <x14:iconSet iconSet="3Symbols" custom="1">
              <x14:cfvo type="percent">
                <xm:f>0</xm:f>
              </x14:cfvo>
              <x14:cfvo type="num">
                <xm:f>0</xm:f>
              </x14:cfvo>
              <x14:cfvo type="num">
                <xm:f>0</xm:f>
              </x14:cfvo>
              <x14:cfIcon iconSet="3Symbols" iconId="2"/>
              <x14:cfIcon iconSet="3Symbols" iconId="2"/>
              <x14:cfIcon iconSet="3Symbols" iconId="2"/>
            </x14:iconSet>
          </x14:cfRule>
          <xm:sqref>AM34</xm:sqref>
        </x14:conditionalFormatting>
        <x14:conditionalFormatting xmlns:xm="http://schemas.microsoft.com/office/excel/2006/main">
          <x14:cfRule type="iconSet" priority="306" id="{3C35CFFD-498A-438D-9774-D463CD0B251D}">
            <x14:iconSet iconSet="3Symbols" custom="1">
              <x14:cfvo type="percent">
                <xm:f>0</xm:f>
              </x14:cfvo>
              <x14:cfvo type="num">
                <xm:f>0</xm:f>
              </x14:cfvo>
              <x14:cfvo type="num">
                <xm:f>0</xm:f>
              </x14:cfvo>
              <x14:cfIcon iconSet="3Symbols" iconId="2"/>
              <x14:cfIcon iconSet="3Symbols" iconId="2"/>
              <x14:cfIcon iconSet="3Symbols" iconId="2"/>
            </x14:iconSet>
          </x14:cfRule>
          <xm:sqref>AM35</xm:sqref>
        </x14:conditionalFormatting>
        <x14:conditionalFormatting xmlns:xm="http://schemas.microsoft.com/office/excel/2006/main">
          <x14:cfRule type="iconSet" priority="313" id="{729B0023-672A-45B9-995E-04DA720D5AA7}">
            <x14:iconSet iconSet="3Symbols" custom="1">
              <x14:cfvo type="percent">
                <xm:f>0</xm:f>
              </x14:cfvo>
              <x14:cfvo type="num">
                <xm:f>0</xm:f>
              </x14:cfvo>
              <x14:cfvo type="num">
                <xm:f>0</xm:f>
              </x14:cfvo>
              <x14:cfIcon iconSet="3Symbols" iconId="2"/>
              <x14:cfIcon iconSet="3Symbols" iconId="2"/>
              <x14:cfIcon iconSet="3Symbols" iconId="2"/>
            </x14:iconSet>
          </x14:cfRule>
          <xm:sqref>AM43 AM40 AM47</xm:sqref>
        </x14:conditionalFormatting>
        <x14:conditionalFormatting xmlns:xm="http://schemas.microsoft.com/office/excel/2006/main">
          <x14:cfRule type="iconSet" priority="317" id="{623CED8B-1930-4259-989A-3599E4141DEF}">
            <x14:iconSet iconSet="3Symbols" custom="1">
              <x14:cfvo type="percent">
                <xm:f>0</xm:f>
              </x14:cfvo>
              <x14:cfvo type="num">
                <xm:f>0</xm:f>
              </x14:cfvo>
              <x14:cfvo type="num">
                <xm:f>0</xm:f>
              </x14:cfvo>
              <x14:cfIcon iconSet="3Symbols" iconId="2"/>
              <x14:cfIcon iconSet="3Symbols" iconId="2"/>
              <x14:cfIcon iconSet="3Symbols" iconId="2"/>
            </x14:iconSet>
          </x14:cfRule>
          <xm:sqref>AM44 AM41:AM42</xm:sqref>
        </x14:conditionalFormatting>
        <x14:conditionalFormatting xmlns:xm="http://schemas.microsoft.com/office/excel/2006/main">
          <x14:cfRule type="iconSet" priority="316" id="{8E5E597B-1D57-4CB3-889C-5A340F6B2F2D}">
            <x14:iconSet iconSet="3Symbols" custom="1">
              <x14:cfvo type="percent">
                <xm:f>0</xm:f>
              </x14:cfvo>
              <x14:cfvo type="num">
                <xm:f>0</xm:f>
              </x14:cfvo>
              <x14:cfvo type="num">
                <xm:f>0</xm:f>
              </x14:cfvo>
              <x14:cfIcon iconSet="3Symbols" iconId="2"/>
              <x14:cfIcon iconSet="3Symbols" iconId="2"/>
              <x14:cfIcon iconSet="3Symbols" iconId="2"/>
            </x14:iconSet>
          </x14:cfRule>
          <xm:sqref>AM45:AM46 AM33</xm:sqref>
        </x14:conditionalFormatting>
        <x14:conditionalFormatting xmlns:xm="http://schemas.microsoft.com/office/excel/2006/main">
          <x14:cfRule type="iconSet" priority="315" id="{974DFF42-28CE-42E9-8040-0549FF9F31C1}">
            <x14:iconSet iconSet="3Symbols" custom="1">
              <x14:cfvo type="percent">
                <xm:f>0</xm:f>
              </x14:cfvo>
              <x14:cfvo type="num">
                <xm:f>0</xm:f>
              </x14:cfvo>
              <x14:cfvo type="num">
                <xm:f>0</xm:f>
              </x14:cfvo>
              <x14:cfIcon iconSet="3Symbols" iconId="2"/>
              <x14:cfIcon iconSet="3Symbols" iconId="2"/>
              <x14:cfIcon iconSet="3Symbols" iconId="2"/>
            </x14:iconSet>
          </x14:cfRule>
          <xm:sqref>AM45:AM46</xm:sqref>
        </x14:conditionalFormatting>
        <x14:conditionalFormatting xmlns:xm="http://schemas.microsoft.com/office/excel/2006/main">
          <x14:cfRule type="iconSet" priority="314" id="{425B170D-C393-4B92-BF2C-B3845690C2AE}">
            <x14:iconSet iconSet="3Symbols" custom="1">
              <x14:cfvo type="percent">
                <xm:f>0</xm:f>
              </x14:cfvo>
              <x14:cfvo type="num">
                <xm:f>0</xm:f>
              </x14:cfvo>
              <x14:cfvo type="num">
                <xm:f>0</xm:f>
              </x14:cfvo>
              <x14:cfIcon iconSet="3Symbols" iconId="2"/>
              <x14:cfIcon iconSet="3Symbols" iconId="2"/>
              <x14:cfIcon iconSet="3Symbols" iconId="2"/>
            </x14:iconSet>
          </x14:cfRule>
          <xm:sqref>AM48:AM49 AM36:AM37</xm:sqref>
        </x14:conditionalFormatting>
        <x14:conditionalFormatting xmlns:xm="http://schemas.microsoft.com/office/excel/2006/main">
          <x14:cfRule type="iconSet" priority="69" id="{A56941B3-55F9-4C93-BE34-F88B4093AF70}">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70" id="{BB5A8101-0BC6-44B7-B3D7-9BFD1A218404}">
            <x14:iconSet iconSet="3Symbols" custom="1">
              <x14:cfvo type="percent">
                <xm:f>0</xm:f>
              </x14:cfvo>
              <x14:cfvo type="num">
                <xm:f>0</xm:f>
              </x14:cfvo>
              <x14:cfvo type="num">
                <xm:f>0</xm:f>
              </x14:cfvo>
              <x14:cfIcon iconSet="3Symbols" iconId="2"/>
              <x14:cfIcon iconSet="3Symbols" iconId="2"/>
              <x14:cfIcon iconSet="3Symbols" iconId="2"/>
            </x14:iconSet>
          </x14:cfRule>
          <xm:sqref>AM54</xm:sqref>
        </x14:conditionalFormatting>
        <x14:conditionalFormatting xmlns:xm="http://schemas.microsoft.com/office/excel/2006/main">
          <x14:cfRule type="iconSet" priority="242" id="{3406DDA8-6B5E-493B-8A97-AB86257F7B59}">
            <x14:iconSet iconSet="3Symbols" custom="1">
              <x14:cfvo type="percent">
                <xm:f>0</xm:f>
              </x14:cfvo>
              <x14:cfvo type="num">
                <xm:f>0</xm:f>
              </x14:cfvo>
              <x14:cfvo type="num">
                <xm:f>0</xm:f>
              </x14:cfvo>
              <x14:cfIcon iconSet="3Symbols" iconId="2"/>
              <x14:cfIcon iconSet="3Symbols" iconId="2"/>
              <x14:cfIcon iconSet="3Symbols" iconId="2"/>
            </x14:iconSet>
          </x14:cfRule>
          <xm:sqref>AP25:AP27</xm:sqref>
        </x14:conditionalFormatting>
        <x14:conditionalFormatting xmlns:xm="http://schemas.microsoft.com/office/excel/2006/main">
          <x14:cfRule type="iconSet" priority="240" id="{B8913ADE-0242-4F97-8E1F-62F91D122EFE}">
            <x14:iconSet iconSet="3Symbols" custom="1">
              <x14:cfvo type="percent">
                <xm:f>0</xm:f>
              </x14:cfvo>
              <x14:cfvo type="num">
                <xm:f>0</xm:f>
              </x14:cfvo>
              <x14:cfvo type="num">
                <xm:f>0</xm:f>
              </x14:cfvo>
              <x14:cfIcon iconSet="3Symbols" iconId="2"/>
              <x14:cfIcon iconSet="3Symbols" iconId="2"/>
              <x14:cfIcon iconSet="3Symbols" iconId="2"/>
            </x14:iconSet>
          </x14:cfRule>
          <xm:sqref>AP30</xm:sqref>
        </x14:conditionalFormatting>
        <x14:conditionalFormatting xmlns:xm="http://schemas.microsoft.com/office/excel/2006/main">
          <x14:cfRule type="iconSet" priority="3267" id="{EC0C8034-D923-43CC-B11E-CAFDD11594EA}">
            <x14:iconSet iconSet="3Symbols" custom="1">
              <x14:cfvo type="percent">
                <xm:f>0</xm:f>
              </x14:cfvo>
              <x14:cfvo type="num">
                <xm:f>0</xm:f>
              </x14:cfvo>
              <x14:cfvo type="num">
                <xm:f>0</xm:f>
              </x14:cfvo>
              <x14:cfIcon iconSet="3Symbols" iconId="2"/>
              <x14:cfIcon iconSet="3Symbols" iconId="2"/>
              <x14:cfIcon iconSet="3Symbols" iconId="2"/>
            </x14:iconSet>
          </x14:cfRule>
          <xm:sqref>AP33</xm:sqref>
        </x14:conditionalFormatting>
        <x14:conditionalFormatting xmlns:xm="http://schemas.microsoft.com/office/excel/2006/main">
          <x14:cfRule type="iconSet" priority="3274" id="{AAFF92BA-C876-45E2-86D3-0E6E7D9000C3}">
            <x14:iconSet iconSet="3Symbols" custom="1">
              <x14:cfvo type="percent">
                <xm:f>0</xm:f>
              </x14:cfvo>
              <x14:cfvo type="num">
                <xm:f>0</xm:f>
              </x14:cfvo>
              <x14:cfvo type="num">
                <xm:f>0</xm:f>
              </x14:cfvo>
              <x14:cfIcon iconSet="3Symbols" iconId="2"/>
              <x14:cfIcon iconSet="3Symbols" iconId="2"/>
              <x14:cfIcon iconSet="3Symbols" iconId="2"/>
            </x14:iconSet>
          </x14:cfRule>
          <xm:sqref>AP34</xm:sqref>
        </x14:conditionalFormatting>
        <x14:conditionalFormatting xmlns:xm="http://schemas.microsoft.com/office/excel/2006/main">
          <x14:cfRule type="iconSet" priority="319" id="{84E80A07-96BE-40C2-8852-7F9C9FDC6972}">
            <x14:iconSet iconSet="3Symbols" custom="1">
              <x14:cfvo type="percent">
                <xm:f>0</xm:f>
              </x14:cfvo>
              <x14:cfvo type="num">
                <xm:f>0</xm:f>
              </x14:cfvo>
              <x14:cfvo type="num">
                <xm:f>0</xm:f>
              </x14:cfvo>
              <x14:cfIcon iconSet="3Symbols" iconId="2"/>
              <x14:cfIcon iconSet="3Symbols" iconId="2"/>
              <x14:cfIcon iconSet="3Symbols" iconId="2"/>
            </x14:iconSet>
          </x14:cfRule>
          <xm:sqref>AP35</xm:sqref>
        </x14:conditionalFormatting>
        <x14:conditionalFormatting xmlns:xm="http://schemas.microsoft.com/office/excel/2006/main">
          <x14:cfRule type="iconSet" priority="326" id="{12CA640D-76F2-46DE-AA8B-099675577A95}">
            <x14:iconSet iconSet="3Symbols" custom="1">
              <x14:cfvo type="percent">
                <xm:f>0</xm:f>
              </x14:cfvo>
              <x14:cfvo type="num">
                <xm:f>0</xm:f>
              </x14:cfvo>
              <x14:cfvo type="num">
                <xm:f>0</xm:f>
              </x14:cfvo>
              <x14:cfIcon iconSet="3Symbols" iconId="2"/>
              <x14:cfIcon iconSet="3Symbols" iconId="2"/>
              <x14:cfIcon iconSet="3Symbols" iconId="2"/>
            </x14:iconSet>
          </x14:cfRule>
          <xm:sqref>AP43 AP40 AP47</xm:sqref>
        </x14:conditionalFormatting>
        <x14:conditionalFormatting xmlns:xm="http://schemas.microsoft.com/office/excel/2006/main">
          <x14:cfRule type="iconSet" priority="330" id="{DE247637-1DF6-40EB-AC7F-6F59057513B6}">
            <x14:iconSet iconSet="3Symbols" custom="1">
              <x14:cfvo type="percent">
                <xm:f>0</xm:f>
              </x14:cfvo>
              <x14:cfvo type="num">
                <xm:f>0</xm:f>
              </x14:cfvo>
              <x14:cfvo type="num">
                <xm:f>0</xm:f>
              </x14:cfvo>
              <x14:cfIcon iconSet="3Symbols" iconId="2"/>
              <x14:cfIcon iconSet="3Symbols" iconId="2"/>
              <x14:cfIcon iconSet="3Symbols" iconId="2"/>
            </x14:iconSet>
          </x14:cfRule>
          <xm:sqref>AP44 AP41:AP42</xm:sqref>
        </x14:conditionalFormatting>
        <x14:conditionalFormatting xmlns:xm="http://schemas.microsoft.com/office/excel/2006/main">
          <x14:cfRule type="iconSet" priority="329" id="{8CC6409B-A165-4031-B798-C82433A718F3}">
            <x14:iconSet iconSet="3Symbols" custom="1">
              <x14:cfvo type="percent">
                <xm:f>0</xm:f>
              </x14:cfvo>
              <x14:cfvo type="num">
                <xm:f>0</xm:f>
              </x14:cfvo>
              <x14:cfvo type="num">
                <xm:f>0</xm:f>
              </x14:cfvo>
              <x14:cfIcon iconSet="3Symbols" iconId="2"/>
              <x14:cfIcon iconSet="3Symbols" iconId="2"/>
              <x14:cfIcon iconSet="3Symbols" iconId="2"/>
            </x14:iconSet>
          </x14:cfRule>
          <xm:sqref>AP45:AP46 AP33</xm:sqref>
        </x14:conditionalFormatting>
        <x14:conditionalFormatting xmlns:xm="http://schemas.microsoft.com/office/excel/2006/main">
          <x14:cfRule type="iconSet" priority="328" id="{1BD1932B-8E21-4429-9CF8-0D56851924EF}">
            <x14:iconSet iconSet="3Symbols" custom="1">
              <x14:cfvo type="percent">
                <xm:f>0</xm:f>
              </x14:cfvo>
              <x14:cfvo type="num">
                <xm:f>0</xm:f>
              </x14:cfvo>
              <x14:cfvo type="num">
                <xm:f>0</xm:f>
              </x14:cfvo>
              <x14:cfIcon iconSet="3Symbols" iconId="2"/>
              <x14:cfIcon iconSet="3Symbols" iconId="2"/>
              <x14:cfIcon iconSet="3Symbols" iconId="2"/>
            </x14:iconSet>
          </x14:cfRule>
          <xm:sqref>AP45:AP46</xm:sqref>
        </x14:conditionalFormatting>
        <x14:conditionalFormatting xmlns:xm="http://schemas.microsoft.com/office/excel/2006/main">
          <x14:cfRule type="iconSet" priority="327" id="{B4CA2E9F-36B9-4DA4-9F34-C4B0824B3F1D}">
            <x14:iconSet iconSet="3Symbols" custom="1">
              <x14:cfvo type="percent">
                <xm:f>0</xm:f>
              </x14:cfvo>
              <x14:cfvo type="num">
                <xm:f>0</xm:f>
              </x14:cfvo>
              <x14:cfvo type="num">
                <xm:f>0</xm:f>
              </x14:cfvo>
              <x14:cfIcon iconSet="3Symbols" iconId="2"/>
              <x14:cfIcon iconSet="3Symbols" iconId="2"/>
              <x14:cfIcon iconSet="3Symbols" iconId="2"/>
            </x14:iconSet>
          </x14:cfRule>
          <xm:sqref>AP48:AP49 AP36:AP37</xm:sqref>
        </x14:conditionalFormatting>
        <x14:conditionalFormatting xmlns:xm="http://schemas.microsoft.com/office/excel/2006/main">
          <x14:cfRule type="iconSet" priority="72" id="{6C654A7E-B81B-4E32-984E-57B5F669E55F}">
            <x14:iconSet iconSet="3Symbols" custom="1">
              <x14:cfvo type="percent">
                <xm:f>0</xm:f>
              </x14:cfvo>
              <x14:cfvo type="num">
                <xm:f>0</xm:f>
              </x14:cfvo>
              <x14:cfvo type="num">
                <xm:f>0</xm:f>
              </x14:cfvo>
              <x14:cfIcon iconSet="3Symbols" iconId="2"/>
              <x14:cfIcon iconSet="3Symbols" iconId="2"/>
              <x14:cfIcon iconSet="3Symbols" iconId="2"/>
            </x14:iconSet>
          </x14:cfRule>
          <x14:cfRule type="iconSet" priority="73" id="{9482F62C-FAC5-42F2-9356-D8BC5246C1E7}">
            <x14:iconSet iconSet="3Symbols" custom="1">
              <x14:cfvo type="percent">
                <xm:f>0</xm:f>
              </x14:cfvo>
              <x14:cfvo type="num">
                <xm:f>0</xm:f>
              </x14:cfvo>
              <x14:cfvo type="num">
                <xm:f>0</xm:f>
              </x14:cfvo>
              <x14:cfIcon iconSet="3Symbols" iconId="2"/>
              <x14:cfIcon iconSet="3Symbols" iconId="2"/>
              <x14:cfIcon iconSet="3Symbols" iconId="2"/>
            </x14:iconSet>
          </x14:cfRule>
          <xm:sqref>AP54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201"/>
  <sheetViews>
    <sheetView zoomScale="75" zoomScaleNormal="75" workbookViewId="0">
      <selection activeCell="B4" sqref="B4"/>
    </sheetView>
  </sheetViews>
  <sheetFormatPr defaultColWidth="0" defaultRowHeight="15" zeroHeight="1" x14ac:dyDescent="0.2"/>
  <cols>
    <col min="1" max="1" width="2.625" style="93" customWidth="1"/>
    <col min="2" max="2" width="53.5" style="97" bestFit="1" customWidth="1"/>
    <col min="3" max="9" width="13.625" style="99" customWidth="1"/>
    <col min="10" max="11" width="13.625" style="32" customWidth="1"/>
    <col min="12" max="12" width="2.625" style="93" customWidth="1"/>
    <col min="13" max="13" width="48.875" style="75" hidden="1" customWidth="1"/>
    <col min="14" max="26" width="19.25" style="5" hidden="1" customWidth="1"/>
    <col min="27" max="16384" width="19.25" style="96" hidden="1"/>
  </cols>
  <sheetData>
    <row r="1" spans="1:28" s="94" customFormat="1" x14ac:dyDescent="0.2">
      <c r="A1" s="93"/>
      <c r="B1" s="231"/>
      <c r="C1" s="268"/>
      <c r="D1" s="268"/>
      <c r="E1" s="268"/>
      <c r="F1" s="268"/>
      <c r="G1" s="268"/>
      <c r="H1" s="268"/>
      <c r="I1" s="268"/>
      <c r="J1" s="47"/>
      <c r="K1" s="47"/>
      <c r="L1" s="93"/>
      <c r="M1" s="47"/>
      <c r="N1" s="47"/>
      <c r="O1" s="47"/>
      <c r="P1" s="47"/>
      <c r="Q1" s="47"/>
      <c r="R1" s="47"/>
      <c r="S1" s="47"/>
      <c r="T1" s="47"/>
      <c r="U1" s="47"/>
      <c r="V1" s="47"/>
      <c r="W1" s="47"/>
      <c r="X1" s="47"/>
      <c r="Y1" s="47"/>
      <c r="Z1" s="47"/>
      <c r="AA1" s="268"/>
      <c r="AB1" s="268"/>
    </row>
    <row r="2" spans="1:28" ht="15.75" x14ac:dyDescent="0.2">
      <c r="A2" s="46"/>
      <c r="B2" s="11" t="s">
        <v>207</v>
      </c>
      <c r="C2" s="48"/>
      <c r="D2" s="48"/>
      <c r="E2" s="48"/>
      <c r="F2" s="48"/>
      <c r="G2" s="48"/>
      <c r="H2" s="48"/>
      <c r="I2" s="48"/>
      <c r="J2" s="48"/>
      <c r="K2" s="48"/>
      <c r="L2" s="46"/>
      <c r="M2" s="95"/>
      <c r="AA2" s="340"/>
      <c r="AB2" s="340"/>
    </row>
    <row r="3" spans="1:28" s="5" customFormat="1" ht="15.75" x14ac:dyDescent="0.2">
      <c r="A3" s="78"/>
      <c r="B3" s="40" t="s">
        <v>208</v>
      </c>
      <c r="C3" s="27" t="s">
        <v>209</v>
      </c>
      <c r="D3" s="27"/>
      <c r="E3" s="27" t="s">
        <v>210</v>
      </c>
      <c r="F3" s="27"/>
      <c r="G3" s="27"/>
      <c r="H3" s="27" t="s">
        <v>211</v>
      </c>
      <c r="I3" s="27"/>
      <c r="J3" s="27"/>
      <c r="K3" s="27"/>
      <c r="L3" s="78"/>
      <c r="M3" s="75"/>
    </row>
    <row r="4" spans="1:28" s="5" customFormat="1" ht="15.75" x14ac:dyDescent="0.2">
      <c r="A4" s="78"/>
      <c r="B4" s="40" t="s">
        <v>212</v>
      </c>
      <c r="C4" s="14" t="s">
        <v>213</v>
      </c>
      <c r="D4" s="14"/>
      <c r="E4" s="14" t="s">
        <v>213</v>
      </c>
      <c r="F4" s="14"/>
      <c r="G4" s="14"/>
      <c r="H4" s="14" t="s">
        <v>213</v>
      </c>
      <c r="I4" s="14"/>
      <c r="J4" s="14"/>
      <c r="K4" s="14"/>
      <c r="L4" s="78"/>
      <c r="M4" s="75"/>
    </row>
    <row r="5" spans="1:28" s="5" customFormat="1" ht="15.75" x14ac:dyDescent="0.2">
      <c r="A5" s="78"/>
      <c r="B5" s="40" t="s">
        <v>79</v>
      </c>
      <c r="C5" s="21">
        <v>1</v>
      </c>
      <c r="D5" s="21">
        <v>2</v>
      </c>
      <c r="E5" s="21">
        <v>1</v>
      </c>
      <c r="F5" s="21">
        <v>2</v>
      </c>
      <c r="G5" s="21">
        <v>3</v>
      </c>
      <c r="H5" s="21">
        <v>1</v>
      </c>
      <c r="I5" s="21">
        <v>2</v>
      </c>
      <c r="J5" s="21">
        <v>3</v>
      </c>
      <c r="K5" s="21">
        <v>4</v>
      </c>
      <c r="L5" s="78"/>
      <c r="M5" s="75"/>
    </row>
    <row r="6" spans="1:28" s="5" customFormat="1" ht="15.75" x14ac:dyDescent="0.2">
      <c r="A6" s="78"/>
      <c r="B6" s="40" t="s">
        <v>214</v>
      </c>
      <c r="C6" s="148" t="str">
        <f>'Tableau de bord'!C33</f>
        <v>Pommes de terre</v>
      </c>
      <c r="D6" s="148" t="str">
        <f>'Tableau de bord'!C34</f>
        <v>Maïs</v>
      </c>
      <c r="E6" s="148" t="str">
        <f>'Tableau de bord'!D33</f>
        <v>Pommes de terre</v>
      </c>
      <c r="F6" s="148" t="str">
        <f>'Tableau de bord'!D34</f>
        <v>Orge</v>
      </c>
      <c r="G6" s="148" t="str">
        <f>'Tableau de bord'!D35</f>
        <v>Culture fourragère (An 1)</v>
      </c>
      <c r="H6" s="148" t="str">
        <f>'Tableau de bord'!E33</f>
        <v>Pommes de terre</v>
      </c>
      <c r="I6" s="148" t="str">
        <f>'Tableau de bord'!E34</f>
        <v>Maïs</v>
      </c>
      <c r="J6" s="148" t="str">
        <f>'Tableau de bord'!E35</f>
        <v>Blé (hiver)</v>
      </c>
      <c r="K6" s="148" t="str">
        <f>'Tableau de bord'!E36</f>
        <v>Culture fourragère (An 1)</v>
      </c>
      <c r="L6" s="78"/>
      <c r="M6" s="75"/>
    </row>
    <row r="7" spans="1:28" s="101" customFormat="1" ht="15.75" x14ac:dyDescent="0.2">
      <c r="A7" s="78">
        <f>Cultures!A33</f>
        <v>14</v>
      </c>
      <c r="B7" s="40" t="str">
        <f>INDEX(Cultures!$B$20:$B$52,A7)</f>
        <v>Engrais</v>
      </c>
      <c r="C7" s="61">
        <f>HLOOKUP(C$6,Cultures!$C$20:$AP$52,$A7,0)</f>
        <v>945.98</v>
      </c>
      <c r="D7" s="61">
        <f>HLOOKUP(D$6,Cultures!$C$20:$AP$52,$A7,0)</f>
        <v>336.47</v>
      </c>
      <c r="E7" s="61">
        <f>HLOOKUP(E$6,Cultures!$C$20:$AP$52,$A7,0)</f>
        <v>945.98</v>
      </c>
      <c r="F7" s="61">
        <f>HLOOKUP(F$6,Cultures!$C$20:$AP$52,$A7,0)</f>
        <v>102.5</v>
      </c>
      <c r="G7" s="61">
        <f>HLOOKUP(G$6,Cultures!$C$20:$AP$52,$A7,0)</f>
        <v>189</v>
      </c>
      <c r="H7" s="61">
        <f>HLOOKUP(H$6,Cultures!$C$20:$AP$52,$A7,0)</f>
        <v>945.98</v>
      </c>
      <c r="I7" s="61">
        <f>HLOOKUP(I$6,Cultures!$C$20:$AP$52,$A7,0)</f>
        <v>336.47</v>
      </c>
      <c r="J7" s="61">
        <f>HLOOKUP(J$6,Cultures!$C$20:$AP$52,$A7,0)</f>
        <v>197.49</v>
      </c>
      <c r="K7" s="61">
        <f>HLOOKUP(K$6,Cultures!$C$20:$AP$52,$A7,0)</f>
        <v>189</v>
      </c>
      <c r="L7" s="78">
        <f>Cultures!L33</f>
        <v>0</v>
      </c>
      <c r="M7" s="75"/>
      <c r="N7" s="5"/>
      <c r="O7" s="5"/>
      <c r="P7" s="5"/>
      <c r="Q7" s="5"/>
      <c r="R7" s="5"/>
      <c r="S7" s="5"/>
      <c r="T7" s="5"/>
      <c r="U7" s="5"/>
      <c r="V7" s="5"/>
      <c r="W7" s="5"/>
      <c r="X7" s="5"/>
      <c r="Y7" s="5"/>
      <c r="Z7" s="5"/>
      <c r="AA7" s="5"/>
      <c r="AB7" s="5"/>
    </row>
    <row r="8" spans="1:28" s="5" customFormat="1" ht="15.75" x14ac:dyDescent="0.2">
      <c r="A8" s="78">
        <f>Cultures!A34</f>
        <v>15</v>
      </c>
      <c r="B8" s="40" t="str">
        <f>INDEX(Cultures!$B$20:$B$52,A8)</f>
        <v>Pesticides ou d’herbicides</v>
      </c>
      <c r="C8" s="61">
        <f>HLOOKUP(C$6,Cultures!$C$20:$AP$52,$A8,0)</f>
        <v>465.16999999999996</v>
      </c>
      <c r="D8" s="61">
        <f>HLOOKUP(D$6,Cultures!$C$20:$AP$52,$A8,0)</f>
        <v>28.939999999999998</v>
      </c>
      <c r="E8" s="61">
        <f>HLOOKUP(E$6,Cultures!$C$20:$AP$52,$A8,0)</f>
        <v>465.16999999999996</v>
      </c>
      <c r="F8" s="61">
        <f>HLOOKUP(F$6,Cultures!$C$20:$AP$52,$A8,0)</f>
        <v>33.479999999999997</v>
      </c>
      <c r="G8" s="61">
        <f>HLOOKUP(G$6,Cultures!$C$20:$AP$52,$A8,0)</f>
        <v>0</v>
      </c>
      <c r="H8" s="61">
        <f>HLOOKUP(H$6,Cultures!$C$20:$AP$52,$A8,0)</f>
        <v>465.16999999999996</v>
      </c>
      <c r="I8" s="61">
        <f>HLOOKUP(I$6,Cultures!$C$20:$AP$52,$A8,0)</f>
        <v>28.939999999999998</v>
      </c>
      <c r="J8" s="61">
        <f>HLOOKUP(J$6,Cultures!$C$20:$AP$52,$A8,0)</f>
        <v>58.84</v>
      </c>
      <c r="K8" s="61">
        <f>HLOOKUP(K$6,Cultures!$C$20:$AP$52,$A8,0)</f>
        <v>0</v>
      </c>
      <c r="L8" s="78">
        <f>Cultures!L34</f>
        <v>0</v>
      </c>
      <c r="M8" s="75"/>
    </row>
    <row r="9" spans="1:28" s="100" customFormat="1" ht="31.5" x14ac:dyDescent="0.2">
      <c r="A9" s="78">
        <f>Cultures!A35</f>
        <v>16</v>
      </c>
      <c r="B9" s="40" t="str">
        <f>INDEX(Cultures!$B$20:$B$52,A9)</f>
        <v>Travail sur commande pour l’application d’engrais, de pesticides ou d’herbicides</v>
      </c>
      <c r="C9" s="61">
        <f>HLOOKUP(C$6,Cultures!$C$20:$AP$52,$A9,0)</f>
        <v>0</v>
      </c>
      <c r="D9" s="61">
        <f>HLOOKUP(D$6,Cultures!$C$20:$AP$52,$A9,0)</f>
        <v>0</v>
      </c>
      <c r="E9" s="61">
        <f>HLOOKUP(E$6,Cultures!$C$20:$AP$52,$A9,0)</f>
        <v>0</v>
      </c>
      <c r="F9" s="61">
        <f>HLOOKUP(F$6,Cultures!$C$20:$AP$52,$A9,0)</f>
        <v>0</v>
      </c>
      <c r="G9" s="61">
        <f>HLOOKUP(G$6,Cultures!$C$20:$AP$52,$A9,0)</f>
        <v>24.2</v>
      </c>
      <c r="H9" s="61">
        <f>HLOOKUP(H$6,Cultures!$C$20:$AP$52,$A9,0)</f>
        <v>0</v>
      </c>
      <c r="I9" s="61">
        <f>HLOOKUP(I$6,Cultures!$C$20:$AP$52,$A9,0)</f>
        <v>0</v>
      </c>
      <c r="J9" s="61">
        <f>HLOOKUP(J$6,Cultures!$C$20:$AP$52,$A9,0)</f>
        <v>0</v>
      </c>
      <c r="K9" s="61">
        <f>HLOOKUP(K$6,Cultures!$C$20:$AP$52,$A9,0)</f>
        <v>24.2</v>
      </c>
      <c r="L9" s="78">
        <f>Cultures!L35</f>
        <v>0</v>
      </c>
      <c r="M9" s="75"/>
      <c r="N9" s="5"/>
      <c r="O9" s="5"/>
      <c r="P9" s="5"/>
      <c r="Q9" s="5"/>
      <c r="R9" s="5"/>
      <c r="S9" s="5"/>
      <c r="T9" s="5"/>
      <c r="U9" s="5"/>
      <c r="V9" s="5"/>
      <c r="W9" s="5"/>
      <c r="X9" s="5"/>
      <c r="Y9" s="5"/>
      <c r="Z9" s="5"/>
      <c r="AA9" s="5"/>
      <c r="AB9" s="5"/>
    </row>
    <row r="10" spans="1:28" s="100" customFormat="1" ht="31.5" x14ac:dyDescent="0.2">
      <c r="A10" s="78">
        <f>Cultures!A36</f>
        <v>17</v>
      </c>
      <c r="B10" s="40" t="str">
        <f>INDEX(Cultures!$B$20:$B$52,A10)</f>
        <v>Carburant utilisé pour l’épandage d’engrais, de pesticides ou d’herbicides</v>
      </c>
      <c r="C10" s="61">
        <f>HLOOKUP(C$6,Cultures!$C$20:$AP$52,$A10,0)</f>
        <v>0</v>
      </c>
      <c r="D10" s="61">
        <f>HLOOKUP(D$6,Cultures!$C$20:$AP$52,$A10,0)</f>
        <v>0</v>
      </c>
      <c r="E10" s="61">
        <f>HLOOKUP(E$6,Cultures!$C$20:$AP$52,$A10,0)</f>
        <v>0</v>
      </c>
      <c r="F10" s="61">
        <f>HLOOKUP(F$6,Cultures!$C$20:$AP$52,$A10,0)</f>
        <v>0</v>
      </c>
      <c r="G10" s="61">
        <f>HLOOKUP(G$6,Cultures!$C$20:$AP$52,$A10,0)</f>
        <v>0</v>
      </c>
      <c r="H10" s="61">
        <f>HLOOKUP(H$6,Cultures!$C$20:$AP$52,$A10,0)</f>
        <v>0</v>
      </c>
      <c r="I10" s="61">
        <f>HLOOKUP(I$6,Cultures!$C$20:$AP$52,$A10,0)</f>
        <v>0</v>
      </c>
      <c r="J10" s="61">
        <f>HLOOKUP(J$6,Cultures!$C$20:$AP$52,$A10,0)</f>
        <v>0</v>
      </c>
      <c r="K10" s="61">
        <f>HLOOKUP(K$6,Cultures!$C$20:$AP$52,$A10,0)</f>
        <v>0</v>
      </c>
      <c r="L10" s="78">
        <f>Cultures!L36</f>
        <v>0</v>
      </c>
      <c r="M10" s="75"/>
      <c r="N10" s="5"/>
      <c r="O10" s="5"/>
      <c r="P10" s="5"/>
      <c r="Q10" s="5"/>
      <c r="R10" s="5"/>
      <c r="S10" s="5"/>
      <c r="T10" s="5"/>
      <c r="U10" s="5"/>
      <c r="V10" s="5"/>
      <c r="W10" s="5"/>
      <c r="X10" s="5"/>
      <c r="Y10" s="5"/>
      <c r="Z10" s="5"/>
      <c r="AA10" s="5"/>
      <c r="AB10" s="5"/>
    </row>
    <row r="11" spans="1:28" s="100" customFormat="1" ht="15.75" x14ac:dyDescent="0.2">
      <c r="A11" s="78">
        <f>Cultures!A37</f>
        <v>18</v>
      </c>
      <c r="B11" s="40" t="str">
        <f>INDEX(Cultures!$B$20:$B$52,A11)</f>
        <v>Main-d’œuvre embauchée ou familiale</v>
      </c>
      <c r="C11" s="61">
        <f>HLOOKUP(C$6,Cultures!$C$20:$AP$52,$A11,0)</f>
        <v>566.34</v>
      </c>
      <c r="D11" s="61">
        <f>HLOOKUP(D$6,Cultures!$C$20:$AP$52,$A11,0)</f>
        <v>24.31</v>
      </c>
      <c r="E11" s="61">
        <f>HLOOKUP(E$6,Cultures!$C$20:$AP$52,$A11,0)</f>
        <v>566.34</v>
      </c>
      <c r="F11" s="61">
        <f>HLOOKUP(F$6,Cultures!$C$20:$AP$52,$A11,0)</f>
        <v>32</v>
      </c>
      <c r="G11" s="61">
        <f>HLOOKUP(G$6,Cultures!$C$20:$AP$52,$A11,0)</f>
        <v>0</v>
      </c>
      <c r="H11" s="61">
        <f>HLOOKUP(H$6,Cultures!$C$20:$AP$52,$A11,0)</f>
        <v>566.34</v>
      </c>
      <c r="I11" s="61">
        <f>HLOOKUP(I$6,Cultures!$C$20:$AP$52,$A11,0)</f>
        <v>24.31</v>
      </c>
      <c r="J11" s="61">
        <f>HLOOKUP(J$6,Cultures!$C$20:$AP$52,$A11,0)</f>
        <v>35.32</v>
      </c>
      <c r="K11" s="61">
        <f>HLOOKUP(K$6,Cultures!$C$20:$AP$52,$A11,0)</f>
        <v>0</v>
      </c>
      <c r="L11" s="78">
        <f>Cultures!L37</f>
        <v>0</v>
      </c>
      <c r="M11" s="75"/>
      <c r="N11" s="5"/>
      <c r="O11" s="5"/>
      <c r="P11" s="5"/>
      <c r="Q11" s="5"/>
      <c r="R11" s="5"/>
      <c r="S11" s="5"/>
      <c r="T11" s="5"/>
      <c r="U11" s="5"/>
      <c r="V11" s="5"/>
      <c r="W11" s="5"/>
      <c r="X11" s="5"/>
      <c r="Y11" s="5"/>
      <c r="Z11" s="5"/>
      <c r="AA11" s="5"/>
      <c r="AB11" s="5"/>
    </row>
    <row r="12" spans="1:28" s="103" customFormat="1" ht="15.75" x14ac:dyDescent="0.2">
      <c r="A12" s="78"/>
      <c r="B12" s="102" t="s">
        <v>215</v>
      </c>
      <c r="C12" s="361">
        <f>SUM(C7:C11)</f>
        <v>1977.4900000000002</v>
      </c>
      <c r="D12" s="361">
        <f t="shared" ref="D12:K12" si="0">SUM(D7:D11)</f>
        <v>389.72</v>
      </c>
      <c r="E12" s="361">
        <f t="shared" si="0"/>
        <v>1977.4900000000002</v>
      </c>
      <c r="F12" s="361">
        <f t="shared" si="0"/>
        <v>167.98</v>
      </c>
      <c r="G12" s="361">
        <f t="shared" si="0"/>
        <v>213.2</v>
      </c>
      <c r="H12" s="361">
        <f t="shared" si="0"/>
        <v>1977.4900000000002</v>
      </c>
      <c r="I12" s="361">
        <f t="shared" si="0"/>
        <v>389.72</v>
      </c>
      <c r="J12" s="361">
        <f t="shared" si="0"/>
        <v>291.65000000000003</v>
      </c>
      <c r="K12" s="361">
        <f t="shared" si="0"/>
        <v>213.2</v>
      </c>
      <c r="L12" s="78"/>
      <c r="M12" s="75"/>
      <c r="N12" s="5"/>
      <c r="O12" s="5"/>
      <c r="P12" s="5"/>
      <c r="Q12" s="5"/>
      <c r="R12" s="5"/>
      <c r="S12" s="5"/>
      <c r="T12" s="5"/>
      <c r="U12" s="5"/>
      <c r="V12" s="5"/>
      <c r="W12" s="5"/>
      <c r="X12" s="5"/>
      <c r="Y12" s="5"/>
      <c r="Z12" s="5"/>
      <c r="AA12" s="5"/>
      <c r="AB12" s="5"/>
    </row>
    <row r="13" spans="1:28" s="103" customFormat="1" ht="15.75" x14ac:dyDescent="0.2">
      <c r="A13" s="78">
        <v>31</v>
      </c>
      <c r="B13" s="40" t="str">
        <f>INDEX(Cultures!$B$20:$B$52,A13)</f>
        <v>Total des coûts d’exploitation non variables ($/acre)</v>
      </c>
      <c r="C13" s="61">
        <f>HLOOKUP(C$6,Cultures!$C$20:$AP$52,$A13,0)</f>
        <v>2229.92</v>
      </c>
      <c r="D13" s="61">
        <f>HLOOKUP(D$6,Cultures!$C$20:$AP$52,$A13,0)</f>
        <v>457.01000000000005</v>
      </c>
      <c r="E13" s="61">
        <f>HLOOKUP(E$6,Cultures!$C$20:$AP$52,$A13,0)</f>
        <v>2229.92</v>
      </c>
      <c r="F13" s="61">
        <f>HLOOKUP(F$6,Cultures!$C$20:$AP$52,$A13,0)</f>
        <v>241.84</v>
      </c>
      <c r="G13" s="61">
        <f>HLOOKUP(G$6,Cultures!$C$20:$AP$52,$A13,0)</f>
        <v>286.45776478232619</v>
      </c>
      <c r="H13" s="61">
        <f>HLOOKUP(H$6,Cultures!$C$20:$AP$52,$A13,0)</f>
        <v>2229.92</v>
      </c>
      <c r="I13" s="61">
        <f>HLOOKUP(I$6,Cultures!$C$20:$AP$52,$A13,0)</f>
        <v>457.01000000000005</v>
      </c>
      <c r="J13" s="61">
        <f>HLOOKUP(J$6,Cultures!$C$20:$AP$52,$A13,0)</f>
        <v>243.32000000000002</v>
      </c>
      <c r="K13" s="61">
        <f>HLOOKUP(K$6,Cultures!$C$20:$AP$52,$A13,0)</f>
        <v>286.45776478232619</v>
      </c>
      <c r="L13" s="78">
        <v>31</v>
      </c>
      <c r="M13" s="75"/>
      <c r="N13" s="5"/>
      <c r="O13" s="5"/>
      <c r="P13" s="5"/>
      <c r="Q13" s="5"/>
      <c r="R13" s="5"/>
      <c r="S13" s="5"/>
      <c r="T13" s="5"/>
      <c r="U13" s="5"/>
      <c r="V13" s="5"/>
      <c r="W13" s="5"/>
      <c r="X13" s="5"/>
      <c r="Y13" s="5"/>
      <c r="Z13" s="5"/>
      <c r="AA13" s="5"/>
      <c r="AB13" s="5"/>
    </row>
    <row r="14" spans="1:28" s="103" customFormat="1" ht="15.75" x14ac:dyDescent="0.2">
      <c r="A14" s="78"/>
      <c r="B14" s="102" t="s">
        <v>216</v>
      </c>
      <c r="C14" s="361">
        <f>SUM(C12:C13)</f>
        <v>4207.41</v>
      </c>
      <c r="D14" s="361">
        <f t="shared" ref="D14:K14" si="1">SUM(D12:D13)</f>
        <v>846.73</v>
      </c>
      <c r="E14" s="361">
        <f t="shared" si="1"/>
        <v>4207.41</v>
      </c>
      <c r="F14" s="361">
        <f t="shared" si="1"/>
        <v>409.82</v>
      </c>
      <c r="G14" s="361">
        <f t="shared" si="1"/>
        <v>499.65776478232618</v>
      </c>
      <c r="H14" s="361">
        <f t="shared" si="1"/>
        <v>4207.41</v>
      </c>
      <c r="I14" s="361">
        <f t="shared" si="1"/>
        <v>846.73</v>
      </c>
      <c r="J14" s="361">
        <f t="shared" si="1"/>
        <v>534.97</v>
      </c>
      <c r="K14" s="361">
        <f t="shared" si="1"/>
        <v>499.65776478232618</v>
      </c>
      <c r="L14" s="78"/>
      <c r="M14" s="75"/>
      <c r="N14" s="5"/>
      <c r="O14" s="5"/>
      <c r="P14" s="5"/>
      <c r="Q14" s="5"/>
      <c r="R14" s="5"/>
      <c r="S14" s="5"/>
      <c r="T14" s="5"/>
      <c r="U14" s="5"/>
      <c r="V14" s="5"/>
      <c r="W14" s="5"/>
      <c r="X14" s="5"/>
      <c r="Y14" s="5"/>
      <c r="Z14" s="5"/>
      <c r="AA14" s="5"/>
      <c r="AB14" s="5"/>
    </row>
    <row r="15" spans="1:28" s="100" customFormat="1" ht="15.75" x14ac:dyDescent="0.2">
      <c r="A15" s="78">
        <f>Cultures!A29</f>
        <v>10</v>
      </c>
      <c r="B15" s="40" t="str">
        <f>INDEX(Cultures!$B$20:$B$52,A15)</f>
        <v>Revenu total des ventes ($/acre)</v>
      </c>
      <c r="C15" s="61">
        <f>HLOOKUP(C$6,Cultures!$C$20:$AP$52,$A15,0)</f>
        <v>5718.4000000000005</v>
      </c>
      <c r="D15" s="61">
        <f>HLOOKUP(D$6,Cultures!$C$20:$AP$52,$A15,0)</f>
        <v>1158.635</v>
      </c>
      <c r="E15" s="61">
        <f>HLOOKUP(E$6,Cultures!$C$20:$AP$52,$A15,0)</f>
        <v>5718.4000000000005</v>
      </c>
      <c r="F15" s="61">
        <f>HLOOKUP(F$6,Cultures!$C$20:$AP$52,$A15,0)</f>
        <v>625.6</v>
      </c>
      <c r="G15" s="61">
        <f>HLOOKUP(G$6,Cultures!$C$20:$AP$52,$A15,0)</f>
        <v>108</v>
      </c>
      <c r="H15" s="61">
        <f>HLOOKUP(H$6,Cultures!$C$20:$AP$52,$A15,0)</f>
        <v>5718.4000000000005</v>
      </c>
      <c r="I15" s="61">
        <f>HLOOKUP(I$6,Cultures!$C$20:$AP$52,$A15,0)</f>
        <v>1158.635</v>
      </c>
      <c r="J15" s="61">
        <f>HLOOKUP(J$6,Cultures!$C$20:$AP$52,$A15,0)</f>
        <v>820.05000000000007</v>
      </c>
      <c r="K15" s="61">
        <f>HLOOKUP(K$6,Cultures!$C$20:$AP$52,$A15,0)</f>
        <v>108</v>
      </c>
      <c r="L15" s="78">
        <f>Cultures!L29</f>
        <v>0</v>
      </c>
      <c r="M15" s="75"/>
      <c r="N15" s="5"/>
      <c r="O15" s="5"/>
      <c r="P15" s="5"/>
      <c r="Q15" s="5"/>
      <c r="R15" s="5"/>
      <c r="S15" s="5"/>
      <c r="T15" s="5"/>
      <c r="U15" s="5"/>
      <c r="V15" s="5"/>
      <c r="W15" s="5"/>
      <c r="X15" s="5"/>
      <c r="Y15" s="5"/>
      <c r="Z15" s="5"/>
      <c r="AA15" s="5"/>
      <c r="AB15" s="5"/>
    </row>
    <row r="16" spans="1:28" s="100" customFormat="1" ht="15.75" x14ac:dyDescent="0.2">
      <c r="A16" s="78">
        <f>Cultures!A30</f>
        <v>11</v>
      </c>
      <c r="B16" s="40" t="str">
        <f>INDEX(Cultures!$B$20:$B$52,A16)</f>
        <v>Autres revenus agricoles</v>
      </c>
      <c r="C16" s="61">
        <f>HLOOKUP(C$6,Cultures!$C$20:$AP$52,$A16,0)</f>
        <v>0</v>
      </c>
      <c r="D16" s="61">
        <f>HLOOKUP(D$6,Cultures!$C$20:$AP$52,$A16,0)</f>
        <v>0</v>
      </c>
      <c r="E16" s="61">
        <f>HLOOKUP(E$6,Cultures!$C$20:$AP$52,$A16,0)</f>
        <v>0</v>
      </c>
      <c r="F16" s="61">
        <f>HLOOKUP(F$6,Cultures!$C$20:$AP$52,$A16,0)</f>
        <v>0</v>
      </c>
      <c r="G16" s="61">
        <f>HLOOKUP(G$6,Cultures!$C$20:$AP$52,$A16,0)</f>
        <v>0</v>
      </c>
      <c r="H16" s="61">
        <f>HLOOKUP(H$6,Cultures!$C$20:$AP$52,$A16,0)</f>
        <v>0</v>
      </c>
      <c r="I16" s="61">
        <f>HLOOKUP(I$6,Cultures!$C$20:$AP$52,$A16,0)</f>
        <v>0</v>
      </c>
      <c r="J16" s="61">
        <f>HLOOKUP(J$6,Cultures!$C$20:$AP$52,$A16,0)</f>
        <v>0</v>
      </c>
      <c r="K16" s="61">
        <f>HLOOKUP(K$6,Cultures!$C$20:$AP$52,$A16,0)</f>
        <v>0</v>
      </c>
      <c r="L16" s="78">
        <f>Cultures!L30</f>
        <v>0</v>
      </c>
      <c r="M16" s="75"/>
      <c r="N16" s="5"/>
      <c r="O16" s="5"/>
      <c r="P16" s="5"/>
      <c r="Q16" s="5"/>
      <c r="R16" s="5"/>
      <c r="S16" s="5"/>
      <c r="T16" s="5"/>
      <c r="U16" s="5"/>
      <c r="V16" s="5"/>
      <c r="W16" s="5"/>
      <c r="X16" s="5"/>
      <c r="Y16" s="5"/>
      <c r="Z16" s="5"/>
      <c r="AA16" s="5"/>
      <c r="AB16" s="5"/>
    </row>
    <row r="17" spans="1:28" s="103" customFormat="1" ht="15.75" x14ac:dyDescent="0.2">
      <c r="A17" s="78"/>
      <c r="B17" s="102" t="s">
        <v>217</v>
      </c>
      <c r="C17" s="361">
        <f>SUM(C15:C16)</f>
        <v>5718.4000000000005</v>
      </c>
      <c r="D17" s="361">
        <f t="shared" ref="D17:K17" si="2">SUM(D15:D16)</f>
        <v>1158.635</v>
      </c>
      <c r="E17" s="361">
        <f t="shared" si="2"/>
        <v>5718.4000000000005</v>
      </c>
      <c r="F17" s="361">
        <f t="shared" si="2"/>
        <v>625.6</v>
      </c>
      <c r="G17" s="361">
        <f t="shared" si="2"/>
        <v>108</v>
      </c>
      <c r="H17" s="361">
        <f t="shared" si="2"/>
        <v>5718.4000000000005</v>
      </c>
      <c r="I17" s="361">
        <f t="shared" si="2"/>
        <v>1158.635</v>
      </c>
      <c r="J17" s="361">
        <f t="shared" si="2"/>
        <v>820.05000000000007</v>
      </c>
      <c r="K17" s="361">
        <f t="shared" si="2"/>
        <v>108</v>
      </c>
      <c r="L17" s="78"/>
      <c r="M17" s="75"/>
      <c r="N17" s="5"/>
      <c r="O17" s="5"/>
      <c r="P17" s="5"/>
      <c r="Q17" s="5"/>
      <c r="R17" s="5"/>
      <c r="S17" s="5"/>
      <c r="T17" s="5"/>
      <c r="U17" s="5"/>
      <c r="V17" s="5"/>
      <c r="W17" s="5"/>
      <c r="X17" s="5"/>
      <c r="Y17" s="5"/>
      <c r="Z17" s="5"/>
      <c r="AA17" s="5"/>
      <c r="AB17" s="5"/>
    </row>
    <row r="18" spans="1:28" s="100" customFormat="1" ht="15.75" x14ac:dyDescent="0.2">
      <c r="A18" s="78"/>
      <c r="B18" s="104" t="s">
        <v>218</v>
      </c>
      <c r="C18" s="13">
        <f>SUM(C17-C14)</f>
        <v>1510.9900000000007</v>
      </c>
      <c r="D18" s="13">
        <f t="shared" ref="D18:K18" si="3">SUM(D17-D14)</f>
        <v>311.90499999999997</v>
      </c>
      <c r="E18" s="13">
        <f t="shared" si="3"/>
        <v>1510.9900000000007</v>
      </c>
      <c r="F18" s="13">
        <f t="shared" si="3"/>
        <v>215.78000000000003</v>
      </c>
      <c r="G18" s="13">
        <f t="shared" si="3"/>
        <v>-391.65776478232618</v>
      </c>
      <c r="H18" s="13">
        <f t="shared" si="3"/>
        <v>1510.9900000000007</v>
      </c>
      <c r="I18" s="13">
        <f t="shared" si="3"/>
        <v>311.90499999999997</v>
      </c>
      <c r="J18" s="13">
        <f t="shared" si="3"/>
        <v>285.08000000000004</v>
      </c>
      <c r="K18" s="13">
        <f t="shared" si="3"/>
        <v>-391.65776478232618</v>
      </c>
      <c r="L18" s="78"/>
      <c r="M18" s="75"/>
      <c r="N18" s="5"/>
      <c r="O18" s="5"/>
      <c r="P18" s="5"/>
      <c r="Q18" s="5"/>
      <c r="R18" s="5"/>
      <c r="S18" s="5"/>
      <c r="T18" s="5"/>
      <c r="U18" s="5"/>
      <c r="V18" s="5"/>
      <c r="W18" s="5"/>
      <c r="X18" s="5"/>
      <c r="Y18" s="5"/>
      <c r="Z18" s="5"/>
      <c r="AA18" s="5"/>
      <c r="AB18" s="5"/>
    </row>
    <row r="19" spans="1:28" s="103" customFormat="1" ht="15.75" x14ac:dyDescent="0.2">
      <c r="A19" s="78"/>
      <c r="B19" s="102" t="s">
        <v>219</v>
      </c>
      <c r="C19" s="375">
        <f>C17/C14</f>
        <v>1.3591259230738151</v>
      </c>
      <c r="D19" s="375">
        <f t="shared" ref="D19:K19" si="4">D17/D14</f>
        <v>1.3683641774827866</v>
      </c>
      <c r="E19" s="375">
        <f t="shared" si="4"/>
        <v>1.3591259230738151</v>
      </c>
      <c r="F19" s="375">
        <f t="shared" si="4"/>
        <v>1.5265238397345178</v>
      </c>
      <c r="G19" s="375">
        <f t="shared" si="4"/>
        <v>0.21614794687929997</v>
      </c>
      <c r="H19" s="375">
        <f t="shared" si="4"/>
        <v>1.3591259230738151</v>
      </c>
      <c r="I19" s="375">
        <f t="shared" si="4"/>
        <v>1.3683641774827866</v>
      </c>
      <c r="J19" s="375">
        <f t="shared" si="4"/>
        <v>1.5328896947492383</v>
      </c>
      <c r="K19" s="375">
        <f t="shared" si="4"/>
        <v>0.21614794687929997</v>
      </c>
      <c r="L19" s="78"/>
      <c r="M19" s="75"/>
      <c r="N19" s="5"/>
      <c r="O19" s="5"/>
      <c r="P19" s="5"/>
      <c r="Q19" s="5"/>
      <c r="R19" s="5"/>
      <c r="S19" s="5"/>
      <c r="T19" s="5"/>
      <c r="U19" s="5"/>
      <c r="V19" s="5"/>
      <c r="W19" s="5"/>
      <c r="X19" s="5"/>
      <c r="Y19" s="5"/>
      <c r="Z19" s="5"/>
      <c r="AA19" s="5"/>
      <c r="AB19" s="5"/>
    </row>
    <row r="20" spans="1:28" s="32" customFormat="1" ht="15.75" x14ac:dyDescent="0.2">
      <c r="A20" s="78">
        <v>35</v>
      </c>
      <c r="B20" s="40" t="str">
        <f>INDEX(Cultures!$B$20:$B$54,A20)</f>
        <v>Nombre d’applications de pesticides</v>
      </c>
      <c r="C20" s="132">
        <f>HLOOKUP(C$6,Cultures!$C$20:$AP$54,$A$20,0)</f>
        <v>15</v>
      </c>
      <c r="D20" s="132">
        <f>HLOOKUP(D$6,Cultures!$C$20:$AP$54,$A$20,0)</f>
        <v>1</v>
      </c>
      <c r="E20" s="132">
        <f>HLOOKUP(E$6,Cultures!$C$20:$AP$54,$A$20,0)</f>
        <v>15</v>
      </c>
      <c r="F20" s="132">
        <f>HLOOKUP(F$6,Cultures!$C$20:$AP$54,$A$20,0)</f>
        <v>2</v>
      </c>
      <c r="G20" s="132">
        <f>HLOOKUP(G$6,Cultures!$C$20:$AP$54,$A$20,0)</f>
        <v>0</v>
      </c>
      <c r="H20" s="132">
        <f>HLOOKUP(H$6,Cultures!$C$20:$AP$54,$A$20,0)</f>
        <v>15</v>
      </c>
      <c r="I20" s="132">
        <f>HLOOKUP(I$6,Cultures!$C$20:$AP$54,$A$20,0)</f>
        <v>1</v>
      </c>
      <c r="J20" s="132">
        <f>HLOOKUP(J$6,Cultures!$C$20:$AP$54,$A$20,0)</f>
        <v>1</v>
      </c>
      <c r="K20" s="132">
        <f>HLOOKUP(K$6,Cultures!$C$20:$AP$54,$A$20,0)</f>
        <v>0</v>
      </c>
      <c r="L20" s="78">
        <v>35</v>
      </c>
    </row>
    <row r="21" spans="1:28" s="93" customFormat="1" x14ac:dyDescent="0.2"/>
    <row r="22" spans="1:28" s="5" customFormat="1" hidden="1" x14ac:dyDescent="0.2">
      <c r="A22" s="93"/>
      <c r="B22" s="200"/>
      <c r="C22" s="200"/>
      <c r="D22" s="200"/>
      <c r="E22" s="200"/>
      <c r="F22" s="200"/>
      <c r="G22" s="200"/>
      <c r="H22" s="200"/>
      <c r="I22" s="200"/>
      <c r="J22" s="32"/>
      <c r="K22" s="32"/>
      <c r="L22" s="93"/>
      <c r="M22" s="75"/>
    </row>
    <row r="23" spans="1:28" s="5" customFormat="1" hidden="1" x14ac:dyDescent="0.2">
      <c r="A23" s="93"/>
      <c r="B23" s="200"/>
      <c r="C23" s="202"/>
      <c r="D23" s="202"/>
      <c r="E23" s="202"/>
      <c r="F23" s="202"/>
      <c r="G23" s="202"/>
      <c r="H23" s="202"/>
      <c r="I23" s="202"/>
      <c r="J23" s="32"/>
      <c r="K23" s="32"/>
      <c r="L23" s="93"/>
      <c r="M23" s="75"/>
    </row>
    <row r="24" spans="1:28" s="5" customFormat="1" hidden="1" x14ac:dyDescent="0.2">
      <c r="A24" s="93"/>
      <c r="B24" s="200"/>
      <c r="C24" s="202"/>
      <c r="D24" s="202"/>
      <c r="E24" s="202"/>
      <c r="F24" s="202"/>
      <c r="G24" s="202"/>
      <c r="H24" s="202"/>
      <c r="I24" s="202"/>
      <c r="J24" s="32"/>
      <c r="K24" s="32"/>
      <c r="L24" s="93"/>
      <c r="M24" s="75"/>
    </row>
    <row r="25" spans="1:28" s="5" customFormat="1" hidden="1" x14ac:dyDescent="0.2">
      <c r="A25" s="93"/>
      <c r="B25" s="200"/>
      <c r="C25" s="202"/>
      <c r="D25" s="202"/>
      <c r="E25" s="202"/>
      <c r="F25" s="202"/>
      <c r="G25" s="202"/>
      <c r="H25" s="202"/>
      <c r="I25" s="202"/>
      <c r="J25" s="32"/>
      <c r="K25" s="32"/>
      <c r="L25" s="93"/>
      <c r="M25" s="75"/>
    </row>
    <row r="26" spans="1:28" s="5" customFormat="1" hidden="1" x14ac:dyDescent="0.2">
      <c r="A26" s="93"/>
      <c r="B26" s="200"/>
      <c r="C26" s="202"/>
      <c r="D26" s="202"/>
      <c r="E26" s="202"/>
      <c r="F26" s="202"/>
      <c r="G26" s="202"/>
      <c r="H26" s="202"/>
      <c r="I26" s="202"/>
      <c r="J26" s="32"/>
      <c r="K26" s="32"/>
      <c r="L26" s="93"/>
      <c r="M26" s="75"/>
    </row>
    <row r="27" spans="1:28" s="5" customFormat="1" hidden="1" x14ac:dyDescent="0.2">
      <c r="A27" s="93"/>
      <c r="B27" s="200"/>
      <c r="C27" s="202"/>
      <c r="D27" s="202"/>
      <c r="E27" s="202"/>
      <c r="F27" s="202"/>
      <c r="G27" s="202"/>
      <c r="H27" s="202"/>
      <c r="I27" s="202"/>
      <c r="J27" s="32"/>
      <c r="K27" s="32"/>
      <c r="L27" s="93"/>
      <c r="M27" s="75"/>
    </row>
    <row r="28" spans="1:28" s="5" customFormat="1" hidden="1" x14ac:dyDescent="0.2">
      <c r="A28" s="93"/>
      <c r="B28" s="200"/>
      <c r="C28" s="202"/>
      <c r="D28" s="202"/>
      <c r="E28" s="202"/>
      <c r="F28" s="202"/>
      <c r="G28" s="202"/>
      <c r="H28" s="202"/>
      <c r="I28" s="202"/>
      <c r="J28" s="32"/>
      <c r="K28" s="32"/>
      <c r="L28" s="93"/>
      <c r="M28" s="75"/>
    </row>
    <row r="29" spans="1:28" s="5" customFormat="1" hidden="1" x14ac:dyDescent="0.2">
      <c r="A29" s="93"/>
      <c r="B29" s="200"/>
      <c r="C29" s="202"/>
      <c r="D29" s="202"/>
      <c r="E29" s="202"/>
      <c r="F29" s="202"/>
      <c r="G29" s="202"/>
      <c r="H29" s="202"/>
      <c r="I29" s="202"/>
      <c r="J29" s="32"/>
      <c r="K29" s="32"/>
      <c r="L29" s="93"/>
      <c r="M29" s="75"/>
    </row>
    <row r="30" spans="1:28" s="5" customFormat="1" hidden="1" x14ac:dyDescent="0.2">
      <c r="A30" s="93"/>
      <c r="B30" s="200"/>
      <c r="C30" s="202"/>
      <c r="D30" s="202"/>
      <c r="E30" s="202"/>
      <c r="F30" s="202"/>
      <c r="G30" s="202"/>
      <c r="H30" s="202"/>
      <c r="I30" s="202"/>
      <c r="J30" s="32"/>
      <c r="K30" s="32"/>
      <c r="L30" s="93"/>
      <c r="M30" s="75"/>
    </row>
    <row r="31" spans="1:28" s="5" customFormat="1" hidden="1" x14ac:dyDescent="0.2">
      <c r="A31" s="93"/>
      <c r="B31" s="200"/>
      <c r="C31" s="202"/>
      <c r="D31" s="202"/>
      <c r="E31" s="202"/>
      <c r="F31" s="202"/>
      <c r="G31" s="202"/>
      <c r="H31" s="202"/>
      <c r="I31" s="202"/>
      <c r="J31" s="32"/>
      <c r="K31" s="32"/>
      <c r="L31" s="93"/>
      <c r="M31" s="75"/>
    </row>
    <row r="32" spans="1:28" s="5" customFormat="1" hidden="1" x14ac:dyDescent="0.2">
      <c r="A32" s="93"/>
      <c r="B32" s="200"/>
      <c r="C32" s="202"/>
      <c r="D32" s="202"/>
      <c r="E32" s="202"/>
      <c r="F32" s="202"/>
      <c r="G32" s="202"/>
      <c r="H32" s="202"/>
      <c r="I32" s="202"/>
      <c r="J32" s="32"/>
      <c r="K32" s="32"/>
      <c r="L32" s="93"/>
      <c r="M32" s="75"/>
    </row>
    <row r="33" spans="1:13" s="5" customFormat="1" hidden="1" x14ac:dyDescent="0.2">
      <c r="A33" s="93"/>
      <c r="B33" s="200"/>
      <c r="C33" s="202"/>
      <c r="D33" s="202"/>
      <c r="E33" s="202"/>
      <c r="F33" s="202"/>
      <c r="G33" s="202"/>
      <c r="H33" s="202"/>
      <c r="I33" s="202"/>
      <c r="J33" s="32"/>
      <c r="K33" s="32"/>
      <c r="L33" s="93"/>
      <c r="M33" s="75"/>
    </row>
    <row r="34" spans="1:13" s="5" customFormat="1" hidden="1" x14ac:dyDescent="0.2">
      <c r="A34" s="93"/>
      <c r="B34" s="200"/>
      <c r="C34" s="202"/>
      <c r="D34" s="202"/>
      <c r="E34" s="202"/>
      <c r="F34" s="202"/>
      <c r="G34" s="202"/>
      <c r="H34" s="202"/>
      <c r="I34" s="202"/>
      <c r="J34" s="32"/>
      <c r="K34" s="32"/>
      <c r="L34" s="93"/>
      <c r="M34" s="75"/>
    </row>
    <row r="35" spans="1:13" s="5" customFormat="1" hidden="1" x14ac:dyDescent="0.2">
      <c r="A35" s="93"/>
      <c r="B35" s="200"/>
      <c r="C35" s="202"/>
      <c r="D35" s="202"/>
      <c r="E35" s="202"/>
      <c r="F35" s="202"/>
      <c r="G35" s="202"/>
      <c r="H35" s="202"/>
      <c r="I35" s="202"/>
      <c r="J35" s="32"/>
      <c r="K35" s="32"/>
      <c r="L35" s="93"/>
      <c r="M35" s="75"/>
    </row>
    <row r="36" spans="1:13" s="5" customFormat="1" hidden="1" x14ac:dyDescent="0.2">
      <c r="A36" s="93"/>
      <c r="B36" s="200"/>
      <c r="C36" s="202"/>
      <c r="D36" s="202"/>
      <c r="E36" s="202"/>
      <c r="F36" s="202"/>
      <c r="G36" s="202"/>
      <c r="H36" s="202"/>
      <c r="I36" s="202"/>
      <c r="J36" s="32"/>
      <c r="K36" s="32"/>
      <c r="L36" s="93"/>
      <c r="M36" s="75"/>
    </row>
    <row r="37" spans="1:13" s="5" customFormat="1" hidden="1" x14ac:dyDescent="0.2">
      <c r="A37" s="93"/>
      <c r="B37" s="200"/>
      <c r="C37" s="202"/>
      <c r="D37" s="202"/>
      <c r="E37" s="202"/>
      <c r="F37" s="202"/>
      <c r="G37" s="202"/>
      <c r="H37" s="202"/>
      <c r="I37" s="202"/>
      <c r="J37" s="32"/>
      <c r="K37" s="32"/>
      <c r="L37" s="93"/>
      <c r="M37" s="75"/>
    </row>
    <row r="38" spans="1:13" s="5" customFormat="1" hidden="1" x14ac:dyDescent="0.2">
      <c r="A38" s="93"/>
      <c r="B38" s="200"/>
      <c r="C38" s="202"/>
      <c r="D38" s="202"/>
      <c r="E38" s="202"/>
      <c r="F38" s="202"/>
      <c r="G38" s="202"/>
      <c r="H38" s="202"/>
      <c r="I38" s="202"/>
      <c r="J38" s="32"/>
      <c r="K38" s="32"/>
      <c r="L38" s="93"/>
      <c r="M38" s="75"/>
    </row>
    <row r="39" spans="1:13" s="5" customFormat="1" hidden="1" x14ac:dyDescent="0.2">
      <c r="A39" s="93"/>
      <c r="B39" s="200"/>
      <c r="C39" s="202"/>
      <c r="D39" s="202"/>
      <c r="E39" s="202"/>
      <c r="F39" s="202"/>
      <c r="G39" s="202"/>
      <c r="H39" s="202"/>
      <c r="I39" s="202"/>
      <c r="J39" s="32"/>
      <c r="K39" s="32"/>
      <c r="L39" s="93"/>
      <c r="M39" s="75"/>
    </row>
    <row r="40" spans="1:13" s="5" customFormat="1" hidden="1" x14ac:dyDescent="0.2">
      <c r="A40" s="93"/>
      <c r="B40" s="200"/>
      <c r="C40" s="202"/>
      <c r="D40" s="202"/>
      <c r="E40" s="202"/>
      <c r="F40" s="202"/>
      <c r="G40" s="202"/>
      <c r="H40" s="202"/>
      <c r="I40" s="202"/>
      <c r="J40" s="32"/>
      <c r="K40" s="32"/>
      <c r="L40" s="93"/>
      <c r="M40" s="75"/>
    </row>
    <row r="41" spans="1:13" s="5" customFormat="1" hidden="1" x14ac:dyDescent="0.2">
      <c r="A41" s="93"/>
      <c r="B41" s="200"/>
      <c r="C41" s="202"/>
      <c r="D41" s="202"/>
      <c r="E41" s="202"/>
      <c r="F41" s="202"/>
      <c r="G41" s="202"/>
      <c r="H41" s="202"/>
      <c r="I41" s="202"/>
      <c r="J41" s="32"/>
      <c r="K41" s="32"/>
      <c r="L41" s="93"/>
      <c r="M41" s="75"/>
    </row>
    <row r="42" spans="1:13" s="5" customFormat="1" hidden="1" x14ac:dyDescent="0.2">
      <c r="A42" s="93"/>
      <c r="B42" s="200"/>
      <c r="C42" s="202"/>
      <c r="D42" s="202"/>
      <c r="E42" s="202"/>
      <c r="F42" s="202"/>
      <c r="G42" s="202"/>
      <c r="H42" s="202"/>
      <c r="I42" s="202"/>
      <c r="J42" s="32"/>
      <c r="K42" s="32"/>
      <c r="L42" s="93"/>
      <c r="M42" s="75"/>
    </row>
    <row r="43" spans="1:13" s="5" customFormat="1" hidden="1" x14ac:dyDescent="0.2">
      <c r="A43" s="93"/>
      <c r="B43" s="200"/>
      <c r="C43" s="202"/>
      <c r="D43" s="202"/>
      <c r="E43" s="202"/>
      <c r="F43" s="202"/>
      <c r="G43" s="202"/>
      <c r="H43" s="202"/>
      <c r="I43" s="202"/>
      <c r="J43" s="32"/>
      <c r="K43" s="32"/>
      <c r="L43" s="93"/>
      <c r="M43" s="75"/>
    </row>
    <row r="44" spans="1:13" s="5" customFormat="1" hidden="1" x14ac:dyDescent="0.2">
      <c r="A44" s="93"/>
      <c r="B44" s="200"/>
      <c r="C44" s="202"/>
      <c r="D44" s="202"/>
      <c r="E44" s="202"/>
      <c r="F44" s="202"/>
      <c r="G44" s="202"/>
      <c r="H44" s="202"/>
      <c r="I44" s="202"/>
      <c r="J44" s="32"/>
      <c r="K44" s="32"/>
      <c r="L44" s="93"/>
      <c r="M44" s="75"/>
    </row>
    <row r="45" spans="1:13" s="5" customFormat="1" hidden="1" x14ac:dyDescent="0.2">
      <c r="A45" s="93"/>
      <c r="B45" s="200"/>
      <c r="C45" s="202"/>
      <c r="D45" s="202"/>
      <c r="E45" s="202"/>
      <c r="F45" s="202"/>
      <c r="G45" s="202"/>
      <c r="H45" s="202"/>
      <c r="I45" s="202"/>
      <c r="J45" s="32"/>
      <c r="K45" s="32"/>
      <c r="L45" s="93"/>
      <c r="M45" s="75"/>
    </row>
    <row r="46" spans="1:13" s="5" customFormat="1" hidden="1" x14ac:dyDescent="0.2">
      <c r="A46" s="93"/>
      <c r="B46" s="200"/>
      <c r="C46" s="202"/>
      <c r="D46" s="202"/>
      <c r="E46" s="202"/>
      <c r="F46" s="202"/>
      <c r="G46" s="202"/>
      <c r="H46" s="202"/>
      <c r="I46" s="202"/>
      <c r="J46" s="32"/>
      <c r="K46" s="32"/>
      <c r="L46" s="93"/>
      <c r="M46" s="75"/>
    </row>
    <row r="47" spans="1:13" s="5" customFormat="1" hidden="1" x14ac:dyDescent="0.2">
      <c r="A47" s="93"/>
      <c r="B47" s="200"/>
      <c r="C47" s="202"/>
      <c r="D47" s="202"/>
      <c r="E47" s="202"/>
      <c r="F47" s="202"/>
      <c r="G47" s="202"/>
      <c r="H47" s="202"/>
      <c r="I47" s="202"/>
      <c r="J47" s="32"/>
      <c r="K47" s="32"/>
      <c r="L47" s="93"/>
      <c r="M47" s="75"/>
    </row>
    <row r="48" spans="1:13" s="5" customFormat="1" hidden="1" x14ac:dyDescent="0.2">
      <c r="A48" s="93"/>
      <c r="B48" s="200"/>
      <c r="C48" s="202"/>
      <c r="D48" s="202"/>
      <c r="E48" s="202"/>
      <c r="F48" s="202"/>
      <c r="G48" s="202"/>
      <c r="H48" s="202"/>
      <c r="I48" s="202"/>
      <c r="J48" s="32"/>
      <c r="K48" s="32"/>
      <c r="L48" s="93"/>
      <c r="M48" s="75"/>
    </row>
    <row r="49" spans="1:13" s="5" customFormat="1" hidden="1" x14ac:dyDescent="0.2">
      <c r="A49" s="93"/>
      <c r="B49" s="107"/>
      <c r="C49" s="32"/>
      <c r="D49" s="32"/>
      <c r="E49" s="32"/>
      <c r="F49" s="32"/>
      <c r="G49" s="32"/>
      <c r="H49" s="32"/>
      <c r="I49" s="32"/>
      <c r="J49" s="32"/>
      <c r="K49" s="32"/>
      <c r="L49" s="93"/>
      <c r="M49" s="75"/>
    </row>
    <row r="50" spans="1:13" s="5" customFormat="1" hidden="1" x14ac:dyDescent="0.2">
      <c r="A50" s="93"/>
      <c r="B50" s="107"/>
      <c r="C50" s="32"/>
      <c r="D50" s="32"/>
      <c r="E50" s="32"/>
      <c r="F50" s="32"/>
      <c r="G50" s="32"/>
      <c r="H50" s="32"/>
      <c r="I50" s="32"/>
      <c r="J50" s="32"/>
      <c r="K50" s="32"/>
      <c r="L50" s="93"/>
      <c r="M50" s="75"/>
    </row>
    <row r="51" spans="1:13" s="5" customFormat="1" hidden="1" x14ac:dyDescent="0.2">
      <c r="A51" s="93"/>
      <c r="B51" s="107"/>
      <c r="C51" s="32"/>
      <c r="D51" s="32"/>
      <c r="E51" s="32"/>
      <c r="F51" s="32"/>
      <c r="G51" s="32"/>
      <c r="H51" s="32"/>
      <c r="I51" s="32"/>
      <c r="J51" s="32"/>
      <c r="K51" s="32"/>
      <c r="L51" s="93"/>
      <c r="M51" s="75"/>
    </row>
    <row r="52" spans="1:13" s="5" customFormat="1" hidden="1" x14ac:dyDescent="0.2">
      <c r="A52" s="93"/>
      <c r="B52" s="107"/>
      <c r="C52" s="32"/>
      <c r="D52" s="32"/>
      <c r="E52" s="32"/>
      <c r="F52" s="32"/>
      <c r="G52" s="32"/>
      <c r="H52" s="32"/>
      <c r="I52" s="32"/>
      <c r="J52" s="32"/>
      <c r="K52" s="32"/>
      <c r="L52" s="93"/>
      <c r="M52" s="75"/>
    </row>
    <row r="53" spans="1:13" s="5" customFormat="1" hidden="1" x14ac:dyDescent="0.2">
      <c r="A53" s="93"/>
      <c r="B53" s="107"/>
      <c r="C53" s="32"/>
      <c r="D53" s="32"/>
      <c r="E53" s="32"/>
      <c r="F53" s="32"/>
      <c r="G53" s="32"/>
      <c r="H53" s="32"/>
      <c r="I53" s="32"/>
      <c r="J53" s="32"/>
      <c r="K53" s="32"/>
      <c r="L53" s="93"/>
      <c r="M53" s="75"/>
    </row>
    <row r="54" spans="1:13" s="5" customFormat="1" hidden="1" x14ac:dyDescent="0.2">
      <c r="A54" s="93"/>
      <c r="B54" s="107"/>
      <c r="C54" s="32"/>
      <c r="D54" s="32"/>
      <c r="E54" s="32"/>
      <c r="F54" s="32"/>
      <c r="G54" s="32"/>
      <c r="H54" s="32"/>
      <c r="I54" s="32"/>
      <c r="J54" s="32"/>
      <c r="K54" s="32"/>
      <c r="L54" s="93"/>
      <c r="M54" s="75"/>
    </row>
    <row r="55" spans="1:13" s="5" customFormat="1" hidden="1" x14ac:dyDescent="0.2">
      <c r="A55" s="93"/>
      <c r="B55" s="107"/>
      <c r="C55" s="32"/>
      <c r="D55" s="32"/>
      <c r="E55" s="32"/>
      <c r="F55" s="32"/>
      <c r="G55" s="32"/>
      <c r="H55" s="32"/>
      <c r="I55" s="32"/>
      <c r="J55" s="32"/>
      <c r="K55" s="32"/>
      <c r="L55" s="93"/>
      <c r="M55" s="75"/>
    </row>
    <row r="56" spans="1:13" s="5" customFormat="1" hidden="1" x14ac:dyDescent="0.2">
      <c r="A56" s="93"/>
      <c r="B56" s="107"/>
      <c r="C56" s="32"/>
      <c r="D56" s="32"/>
      <c r="E56" s="32"/>
      <c r="F56" s="32"/>
      <c r="G56" s="32"/>
      <c r="H56" s="32"/>
      <c r="I56" s="32"/>
      <c r="J56" s="32"/>
      <c r="K56" s="32"/>
      <c r="L56" s="93"/>
      <c r="M56" s="75"/>
    </row>
    <row r="57" spans="1:13" s="5" customFormat="1" hidden="1" x14ac:dyDescent="0.2">
      <c r="A57" s="93"/>
      <c r="B57" s="107"/>
      <c r="C57" s="32"/>
      <c r="D57" s="32"/>
      <c r="E57" s="32"/>
      <c r="F57" s="32"/>
      <c r="G57" s="32"/>
      <c r="H57" s="32"/>
      <c r="I57" s="32"/>
      <c r="J57" s="32"/>
      <c r="K57" s="32"/>
      <c r="L57" s="93"/>
      <c r="M57" s="75"/>
    </row>
    <row r="58" spans="1:13" s="5" customFormat="1" hidden="1" x14ac:dyDescent="0.2">
      <c r="A58" s="93"/>
      <c r="B58" s="107"/>
      <c r="C58" s="32"/>
      <c r="D58" s="32"/>
      <c r="E58" s="32"/>
      <c r="F58" s="32"/>
      <c r="G58" s="32"/>
      <c r="H58" s="32"/>
      <c r="I58" s="32"/>
      <c r="J58" s="32"/>
      <c r="K58" s="32"/>
      <c r="L58" s="93"/>
      <c r="M58" s="75"/>
    </row>
    <row r="59" spans="1:13" s="5" customFormat="1" hidden="1" x14ac:dyDescent="0.2">
      <c r="A59" s="93"/>
      <c r="B59" s="107"/>
      <c r="C59" s="32"/>
      <c r="D59" s="32"/>
      <c r="E59" s="32"/>
      <c r="F59" s="32"/>
      <c r="G59" s="32"/>
      <c r="H59" s="32"/>
      <c r="I59" s="32"/>
      <c r="J59" s="32"/>
      <c r="K59" s="32"/>
      <c r="L59" s="93"/>
      <c r="M59" s="75"/>
    </row>
    <row r="60" spans="1:13" s="5" customFormat="1" hidden="1" x14ac:dyDescent="0.2">
      <c r="A60" s="93"/>
      <c r="B60" s="107"/>
      <c r="C60" s="32"/>
      <c r="D60" s="32"/>
      <c r="E60" s="32"/>
      <c r="F60" s="32"/>
      <c r="G60" s="32"/>
      <c r="H60" s="32"/>
      <c r="I60" s="32"/>
      <c r="J60" s="32"/>
      <c r="K60" s="32"/>
      <c r="L60" s="93"/>
      <c r="M60" s="75"/>
    </row>
    <row r="61" spans="1:13" s="5" customFormat="1" hidden="1" x14ac:dyDescent="0.2">
      <c r="A61" s="93"/>
      <c r="B61" s="107"/>
      <c r="C61" s="32"/>
      <c r="D61" s="32"/>
      <c r="E61" s="32"/>
      <c r="F61" s="32"/>
      <c r="G61" s="32"/>
      <c r="H61" s="32"/>
      <c r="I61" s="32"/>
      <c r="J61" s="32"/>
      <c r="K61" s="32"/>
      <c r="L61" s="93"/>
      <c r="M61" s="75"/>
    </row>
    <row r="62" spans="1:13" s="5" customFormat="1" hidden="1" x14ac:dyDescent="0.2">
      <c r="A62" s="93"/>
      <c r="B62" s="108"/>
      <c r="J62" s="32"/>
      <c r="K62" s="32"/>
      <c r="L62" s="93"/>
      <c r="M62" s="75"/>
    </row>
    <row r="63" spans="1:13" s="5" customFormat="1" hidden="1" x14ac:dyDescent="0.2">
      <c r="A63" s="93"/>
      <c r="B63" s="108"/>
      <c r="J63" s="32"/>
      <c r="K63" s="32"/>
      <c r="L63" s="93"/>
      <c r="M63" s="75"/>
    </row>
    <row r="64" spans="1:13" s="5" customFormat="1" hidden="1" x14ac:dyDescent="0.2">
      <c r="A64" s="93"/>
      <c r="B64" s="108"/>
      <c r="J64" s="32"/>
      <c r="K64" s="32"/>
      <c r="L64" s="93"/>
      <c r="M64" s="75"/>
    </row>
    <row r="65" spans="1:13" s="5" customFormat="1" hidden="1" x14ac:dyDescent="0.2">
      <c r="A65" s="93"/>
      <c r="B65" s="108"/>
      <c r="J65" s="32"/>
      <c r="K65" s="32"/>
      <c r="L65" s="93"/>
      <c r="M65" s="75"/>
    </row>
    <row r="66" spans="1:13" s="5" customFormat="1" hidden="1" x14ac:dyDescent="0.2">
      <c r="A66" s="93"/>
      <c r="B66" s="108"/>
      <c r="J66" s="32"/>
      <c r="K66" s="32"/>
      <c r="L66" s="93"/>
      <c r="M66" s="75"/>
    </row>
    <row r="67" spans="1:13" s="5" customFormat="1" hidden="1" x14ac:dyDescent="0.2">
      <c r="A67" s="93"/>
      <c r="B67" s="108"/>
      <c r="J67" s="32"/>
      <c r="K67" s="32"/>
      <c r="L67" s="93"/>
      <c r="M67" s="75"/>
    </row>
    <row r="68" spans="1:13" s="5" customFormat="1" hidden="1" x14ac:dyDescent="0.2">
      <c r="A68" s="93"/>
      <c r="B68" s="108"/>
      <c r="J68" s="32"/>
      <c r="K68" s="32"/>
      <c r="L68" s="93"/>
      <c r="M68" s="75"/>
    </row>
    <row r="69" spans="1:13" s="5" customFormat="1" hidden="1" x14ac:dyDescent="0.2">
      <c r="A69" s="93"/>
      <c r="B69" s="108"/>
      <c r="J69" s="32"/>
      <c r="K69" s="32"/>
      <c r="L69" s="93"/>
      <c r="M69" s="75"/>
    </row>
    <row r="70" spans="1:13" s="5" customFormat="1" hidden="1" x14ac:dyDescent="0.2">
      <c r="A70" s="93"/>
      <c r="B70" s="108"/>
      <c r="J70" s="32"/>
      <c r="K70" s="32"/>
      <c r="L70" s="93"/>
      <c r="M70" s="75"/>
    </row>
    <row r="71" spans="1:13" s="5" customFormat="1" hidden="1" x14ac:dyDescent="0.2">
      <c r="A71" s="93"/>
      <c r="B71" s="108"/>
      <c r="J71" s="32"/>
      <c r="K71" s="32"/>
      <c r="L71" s="93"/>
      <c r="M71" s="75"/>
    </row>
    <row r="72" spans="1:13" s="5" customFormat="1" hidden="1" x14ac:dyDescent="0.2">
      <c r="A72" s="93"/>
      <c r="B72" s="108"/>
      <c r="J72" s="32"/>
      <c r="K72" s="32"/>
      <c r="L72" s="93"/>
      <c r="M72" s="75"/>
    </row>
    <row r="73" spans="1:13" s="5" customFormat="1" hidden="1" x14ac:dyDescent="0.2">
      <c r="A73" s="93"/>
      <c r="B73" s="108"/>
      <c r="J73" s="32"/>
      <c r="K73" s="32"/>
      <c r="L73" s="93"/>
      <c r="M73" s="75"/>
    </row>
    <row r="74" spans="1:13" s="5" customFormat="1" hidden="1" x14ac:dyDescent="0.2">
      <c r="A74" s="93"/>
      <c r="B74" s="108"/>
      <c r="J74" s="32"/>
      <c r="K74" s="32"/>
      <c r="L74" s="93"/>
      <c r="M74" s="75"/>
    </row>
    <row r="75" spans="1:13" s="5" customFormat="1" hidden="1" x14ac:dyDescent="0.2">
      <c r="A75" s="93"/>
      <c r="B75" s="108"/>
      <c r="J75" s="32"/>
      <c r="K75" s="32"/>
      <c r="L75" s="93"/>
      <c r="M75" s="75"/>
    </row>
    <row r="76" spans="1:13" s="5" customFormat="1" hidden="1" x14ac:dyDescent="0.2">
      <c r="A76" s="93"/>
      <c r="B76" s="108"/>
      <c r="J76" s="32"/>
      <c r="K76" s="32"/>
      <c r="L76" s="93"/>
      <c r="M76" s="75"/>
    </row>
    <row r="77" spans="1:13" s="5" customFormat="1" hidden="1" x14ac:dyDescent="0.2">
      <c r="A77" s="93"/>
      <c r="B77" s="108"/>
      <c r="J77" s="32"/>
      <c r="K77" s="32"/>
      <c r="L77" s="93"/>
      <c r="M77" s="75"/>
    </row>
    <row r="78" spans="1:13" s="5" customFormat="1" hidden="1" x14ac:dyDescent="0.2">
      <c r="A78" s="93"/>
      <c r="B78" s="108"/>
      <c r="J78" s="32"/>
      <c r="K78" s="32"/>
      <c r="L78" s="93"/>
      <c r="M78" s="75"/>
    </row>
    <row r="79" spans="1:13" s="5" customFormat="1" hidden="1" x14ac:dyDescent="0.2">
      <c r="A79" s="93"/>
      <c r="B79" s="108"/>
      <c r="J79" s="32"/>
      <c r="K79" s="32"/>
      <c r="L79" s="93"/>
      <c r="M79" s="75"/>
    </row>
    <row r="80" spans="1:13" s="5" customFormat="1" hidden="1" x14ac:dyDescent="0.2">
      <c r="A80" s="93"/>
      <c r="B80" s="108"/>
      <c r="J80" s="32"/>
      <c r="K80" s="32"/>
      <c r="L80" s="93"/>
      <c r="M80" s="75"/>
    </row>
    <row r="81" spans="1:13" s="5" customFormat="1" hidden="1" x14ac:dyDescent="0.2">
      <c r="A81" s="93"/>
      <c r="B81" s="108"/>
      <c r="J81" s="32"/>
      <c r="K81" s="32"/>
      <c r="L81" s="93"/>
      <c r="M81" s="75"/>
    </row>
    <row r="82" spans="1:13" s="5" customFormat="1" hidden="1" x14ac:dyDescent="0.2">
      <c r="A82" s="93"/>
      <c r="B82" s="108"/>
      <c r="J82" s="32"/>
      <c r="K82" s="32"/>
      <c r="L82" s="93"/>
      <c r="M82" s="75"/>
    </row>
    <row r="83" spans="1:13" s="5" customFormat="1" hidden="1" x14ac:dyDescent="0.2">
      <c r="A83" s="93"/>
      <c r="B83" s="108"/>
      <c r="J83" s="32"/>
      <c r="K83" s="32"/>
      <c r="L83" s="93"/>
      <c r="M83" s="75"/>
    </row>
    <row r="84" spans="1:13" s="5" customFormat="1" hidden="1" x14ac:dyDescent="0.2">
      <c r="A84" s="93"/>
      <c r="B84" s="108"/>
      <c r="J84" s="32"/>
      <c r="K84" s="32"/>
      <c r="L84" s="93"/>
      <c r="M84" s="75"/>
    </row>
    <row r="85" spans="1:13" s="5" customFormat="1" hidden="1" x14ac:dyDescent="0.2">
      <c r="A85" s="93"/>
      <c r="B85" s="108"/>
      <c r="J85" s="32"/>
      <c r="K85" s="32"/>
      <c r="L85" s="93"/>
      <c r="M85" s="75"/>
    </row>
    <row r="86" spans="1:13" s="5" customFormat="1" hidden="1" x14ac:dyDescent="0.2">
      <c r="A86" s="93"/>
      <c r="B86" s="108"/>
      <c r="J86" s="32"/>
      <c r="K86" s="32"/>
      <c r="L86" s="93"/>
      <c r="M86" s="75"/>
    </row>
    <row r="87" spans="1:13" s="5" customFormat="1" hidden="1" x14ac:dyDescent="0.2">
      <c r="A87" s="93"/>
      <c r="B87" s="108"/>
      <c r="J87" s="32"/>
      <c r="K87" s="32"/>
      <c r="L87" s="93"/>
      <c r="M87" s="75"/>
    </row>
    <row r="88" spans="1:13" s="5" customFormat="1" hidden="1" x14ac:dyDescent="0.2">
      <c r="A88" s="93"/>
      <c r="B88" s="108"/>
      <c r="J88" s="32"/>
      <c r="K88" s="32"/>
      <c r="L88" s="93"/>
      <c r="M88" s="75"/>
    </row>
    <row r="89" spans="1:13" s="5" customFormat="1" hidden="1" x14ac:dyDescent="0.2">
      <c r="A89" s="93"/>
      <c r="B89" s="108"/>
      <c r="J89" s="32"/>
      <c r="K89" s="32"/>
      <c r="L89" s="93"/>
      <c r="M89" s="75"/>
    </row>
    <row r="90" spans="1:13" s="5" customFormat="1" hidden="1" x14ac:dyDescent="0.2">
      <c r="A90" s="93"/>
      <c r="B90" s="108"/>
      <c r="J90" s="32"/>
      <c r="K90" s="32"/>
      <c r="L90" s="93"/>
      <c r="M90" s="75"/>
    </row>
    <row r="91" spans="1:13" s="5" customFormat="1" hidden="1" x14ac:dyDescent="0.2">
      <c r="A91" s="93"/>
      <c r="B91" s="108"/>
      <c r="J91" s="32"/>
      <c r="K91" s="32"/>
      <c r="L91" s="93"/>
      <c r="M91" s="75"/>
    </row>
    <row r="92" spans="1:13" s="5" customFormat="1" hidden="1" x14ac:dyDescent="0.2">
      <c r="A92" s="93"/>
      <c r="B92" s="108"/>
      <c r="J92" s="32"/>
      <c r="K92" s="32"/>
      <c r="L92" s="93"/>
      <c r="M92" s="75"/>
    </row>
    <row r="93" spans="1:13" s="5" customFormat="1" hidden="1" x14ac:dyDescent="0.2">
      <c r="A93" s="93"/>
      <c r="B93" s="108"/>
      <c r="J93" s="32"/>
      <c r="K93" s="32"/>
      <c r="L93" s="93"/>
      <c r="M93" s="75"/>
    </row>
    <row r="94" spans="1:13" s="5" customFormat="1" hidden="1" x14ac:dyDescent="0.2">
      <c r="A94" s="93"/>
      <c r="B94" s="108"/>
      <c r="J94" s="32"/>
      <c r="K94" s="32"/>
      <c r="L94" s="93"/>
      <c r="M94" s="75"/>
    </row>
    <row r="95" spans="1:13" s="5" customFormat="1" hidden="1" x14ac:dyDescent="0.2">
      <c r="A95" s="93"/>
      <c r="B95" s="108"/>
      <c r="J95" s="32"/>
      <c r="K95" s="32"/>
      <c r="L95" s="93"/>
      <c r="M95" s="75"/>
    </row>
    <row r="96" spans="1:13" s="5" customFormat="1" hidden="1" x14ac:dyDescent="0.2">
      <c r="A96" s="93"/>
      <c r="B96" s="108"/>
      <c r="J96" s="32"/>
      <c r="K96" s="32"/>
      <c r="L96" s="93"/>
      <c r="M96" s="75"/>
    </row>
    <row r="97" spans="1:13" s="5" customFormat="1" hidden="1" x14ac:dyDescent="0.2">
      <c r="A97" s="93"/>
      <c r="B97" s="108"/>
      <c r="J97" s="32"/>
      <c r="K97" s="32"/>
      <c r="L97" s="93"/>
      <c r="M97" s="75"/>
    </row>
    <row r="98" spans="1:13" s="5" customFormat="1" hidden="1" x14ac:dyDescent="0.2">
      <c r="A98" s="93"/>
      <c r="B98" s="108"/>
      <c r="J98" s="32"/>
      <c r="K98" s="32"/>
      <c r="L98" s="93"/>
      <c r="M98" s="75"/>
    </row>
    <row r="99" spans="1:13" s="5" customFormat="1" hidden="1" x14ac:dyDescent="0.2">
      <c r="A99" s="93"/>
      <c r="B99" s="108"/>
      <c r="J99" s="32"/>
      <c r="K99" s="32"/>
      <c r="L99" s="93"/>
      <c r="M99" s="75"/>
    </row>
    <row r="100" spans="1:13" s="5" customFormat="1" hidden="1" x14ac:dyDescent="0.2">
      <c r="A100" s="93"/>
      <c r="B100" s="108"/>
      <c r="J100" s="32"/>
      <c r="K100" s="32"/>
      <c r="L100" s="93"/>
      <c r="M100" s="75"/>
    </row>
    <row r="101" spans="1:13" s="5" customFormat="1" hidden="1" x14ac:dyDescent="0.2">
      <c r="A101" s="93"/>
      <c r="B101" s="108"/>
      <c r="J101" s="32"/>
      <c r="K101" s="32"/>
      <c r="L101" s="93"/>
      <c r="M101" s="75"/>
    </row>
    <row r="102" spans="1:13" s="5" customFormat="1" hidden="1" x14ac:dyDescent="0.2">
      <c r="A102" s="93"/>
      <c r="B102" s="108"/>
      <c r="J102" s="32"/>
      <c r="K102" s="32"/>
      <c r="L102" s="93"/>
      <c r="M102" s="75"/>
    </row>
    <row r="103" spans="1:13" s="5" customFormat="1" hidden="1" x14ac:dyDescent="0.2">
      <c r="A103" s="93"/>
      <c r="B103" s="108"/>
      <c r="J103" s="32"/>
      <c r="K103" s="32"/>
      <c r="L103" s="93"/>
      <c r="M103" s="75"/>
    </row>
    <row r="104" spans="1:13" s="5" customFormat="1" hidden="1" x14ac:dyDescent="0.2">
      <c r="A104" s="93"/>
      <c r="B104" s="108"/>
      <c r="J104" s="32"/>
      <c r="K104" s="32"/>
      <c r="L104" s="93"/>
      <c r="M104" s="75"/>
    </row>
    <row r="105" spans="1:13" s="5" customFormat="1" hidden="1" x14ac:dyDescent="0.2">
      <c r="A105" s="93"/>
      <c r="B105" s="108"/>
      <c r="J105" s="32"/>
      <c r="K105" s="32"/>
      <c r="L105" s="93"/>
      <c r="M105" s="75"/>
    </row>
    <row r="106" spans="1:13" s="5" customFormat="1" hidden="1" x14ac:dyDescent="0.2">
      <c r="A106" s="93"/>
      <c r="B106" s="108"/>
      <c r="J106" s="32"/>
      <c r="K106" s="32"/>
      <c r="L106" s="93"/>
      <c r="M106" s="75"/>
    </row>
    <row r="107" spans="1:13" s="5" customFormat="1" hidden="1" x14ac:dyDescent="0.2">
      <c r="A107" s="93"/>
      <c r="B107" s="108"/>
      <c r="J107" s="32"/>
      <c r="K107" s="32"/>
      <c r="L107" s="93"/>
      <c r="M107" s="75"/>
    </row>
    <row r="108" spans="1:13" s="5" customFormat="1" hidden="1" x14ac:dyDescent="0.2">
      <c r="A108" s="93"/>
      <c r="B108" s="108"/>
      <c r="J108" s="32"/>
      <c r="K108" s="32"/>
      <c r="L108" s="93"/>
      <c r="M108" s="75"/>
    </row>
    <row r="109" spans="1:13" s="5" customFormat="1" hidden="1" x14ac:dyDescent="0.2">
      <c r="A109" s="93"/>
      <c r="B109" s="108"/>
      <c r="J109" s="32"/>
      <c r="K109" s="32"/>
      <c r="L109" s="93"/>
      <c r="M109" s="75"/>
    </row>
    <row r="110" spans="1:13" s="5" customFormat="1" hidden="1" x14ac:dyDescent="0.2">
      <c r="A110" s="93"/>
      <c r="B110" s="108"/>
      <c r="J110" s="32"/>
      <c r="K110" s="32"/>
      <c r="L110" s="93"/>
      <c r="M110" s="75"/>
    </row>
    <row r="111" spans="1:13" s="5" customFormat="1" hidden="1" x14ac:dyDescent="0.2">
      <c r="A111" s="93"/>
      <c r="B111" s="108"/>
      <c r="J111" s="32"/>
      <c r="K111" s="32"/>
      <c r="L111" s="93"/>
      <c r="M111" s="75"/>
    </row>
    <row r="112" spans="1:13" s="5" customFormat="1" hidden="1" x14ac:dyDescent="0.2">
      <c r="A112" s="93"/>
      <c r="B112" s="108"/>
      <c r="J112" s="32"/>
      <c r="K112" s="32"/>
      <c r="L112" s="93"/>
      <c r="M112" s="75"/>
    </row>
    <row r="113" spans="1:13" s="5" customFormat="1" hidden="1" x14ac:dyDescent="0.2">
      <c r="A113" s="93"/>
      <c r="B113" s="108"/>
      <c r="J113" s="32"/>
      <c r="K113" s="32"/>
      <c r="L113" s="93"/>
      <c r="M113" s="75"/>
    </row>
    <row r="114" spans="1:13" s="5" customFormat="1" hidden="1" x14ac:dyDescent="0.2">
      <c r="A114" s="93"/>
      <c r="B114" s="108"/>
      <c r="J114" s="32"/>
      <c r="K114" s="32"/>
      <c r="L114" s="93"/>
      <c r="M114" s="75"/>
    </row>
    <row r="115" spans="1:13" s="5" customFormat="1" hidden="1" x14ac:dyDescent="0.2">
      <c r="A115" s="93"/>
      <c r="B115" s="108"/>
      <c r="J115" s="32"/>
      <c r="K115" s="32"/>
      <c r="L115" s="93"/>
      <c r="M115" s="75"/>
    </row>
    <row r="116" spans="1:13" s="5" customFormat="1" hidden="1" x14ac:dyDescent="0.2">
      <c r="A116" s="93"/>
      <c r="B116" s="108"/>
      <c r="J116" s="32"/>
      <c r="K116" s="32"/>
      <c r="L116" s="93"/>
      <c r="M116" s="75"/>
    </row>
    <row r="117" spans="1:13" s="5" customFormat="1" hidden="1" x14ac:dyDescent="0.2">
      <c r="A117" s="93"/>
      <c r="B117" s="108"/>
      <c r="J117" s="32"/>
      <c r="K117" s="32"/>
      <c r="L117" s="93"/>
      <c r="M117" s="75"/>
    </row>
    <row r="118" spans="1:13" s="5" customFormat="1" hidden="1" x14ac:dyDescent="0.2">
      <c r="A118" s="93"/>
      <c r="B118" s="108"/>
      <c r="J118" s="32"/>
      <c r="K118" s="32"/>
      <c r="L118" s="93"/>
      <c r="M118" s="75"/>
    </row>
    <row r="119" spans="1:13" s="5" customFormat="1" hidden="1" x14ac:dyDescent="0.2">
      <c r="A119" s="93"/>
      <c r="B119" s="108"/>
      <c r="J119" s="32"/>
      <c r="K119" s="32"/>
      <c r="L119" s="93"/>
      <c r="M119" s="75"/>
    </row>
    <row r="120" spans="1:13" s="5" customFormat="1" hidden="1" x14ac:dyDescent="0.2">
      <c r="A120" s="93"/>
      <c r="B120" s="108"/>
      <c r="J120" s="32"/>
      <c r="K120" s="32"/>
      <c r="L120" s="93"/>
      <c r="M120" s="75"/>
    </row>
    <row r="121" spans="1:13" s="5" customFormat="1" hidden="1" x14ac:dyDescent="0.2">
      <c r="A121" s="93"/>
      <c r="B121" s="108"/>
      <c r="J121" s="32"/>
      <c r="K121" s="32"/>
      <c r="L121" s="93"/>
      <c r="M121" s="75"/>
    </row>
    <row r="122" spans="1:13" s="5" customFormat="1" hidden="1" x14ac:dyDescent="0.2">
      <c r="A122" s="93"/>
      <c r="B122" s="108"/>
      <c r="J122" s="32"/>
      <c r="K122" s="32"/>
      <c r="L122" s="93"/>
      <c r="M122" s="75"/>
    </row>
    <row r="123" spans="1:13" s="5" customFormat="1" hidden="1" x14ac:dyDescent="0.2">
      <c r="A123" s="93"/>
      <c r="B123" s="108"/>
      <c r="J123" s="32"/>
      <c r="K123" s="32"/>
      <c r="L123" s="93"/>
      <c r="M123" s="75"/>
    </row>
    <row r="124" spans="1:13" s="5" customFormat="1" hidden="1" x14ac:dyDescent="0.2">
      <c r="A124" s="93"/>
      <c r="B124" s="108"/>
      <c r="J124" s="32"/>
      <c r="K124" s="32"/>
      <c r="L124" s="93"/>
      <c r="M124" s="75"/>
    </row>
    <row r="125" spans="1:13" s="5" customFormat="1" hidden="1" x14ac:dyDescent="0.2">
      <c r="A125" s="93"/>
      <c r="B125" s="108"/>
      <c r="J125" s="32"/>
      <c r="K125" s="32"/>
      <c r="L125" s="93"/>
      <c r="M125" s="75"/>
    </row>
    <row r="126" spans="1:13" s="5" customFormat="1" hidden="1" x14ac:dyDescent="0.2">
      <c r="A126" s="93"/>
      <c r="B126" s="108"/>
      <c r="J126" s="32"/>
      <c r="K126" s="32"/>
      <c r="L126" s="93"/>
      <c r="M126" s="75"/>
    </row>
    <row r="127" spans="1:13" s="5" customFormat="1" hidden="1" x14ac:dyDescent="0.2">
      <c r="A127" s="93"/>
      <c r="B127" s="108"/>
      <c r="J127" s="32"/>
      <c r="K127" s="32"/>
      <c r="L127" s="93"/>
      <c r="M127" s="75"/>
    </row>
    <row r="128" spans="1:13" s="5" customFormat="1" hidden="1" x14ac:dyDescent="0.2">
      <c r="A128" s="93"/>
      <c r="B128" s="108"/>
      <c r="J128" s="32"/>
      <c r="K128" s="32"/>
      <c r="L128" s="93"/>
      <c r="M128" s="75"/>
    </row>
    <row r="129" spans="1:13" s="5" customFormat="1" hidden="1" x14ac:dyDescent="0.2">
      <c r="A129" s="93"/>
      <c r="B129" s="108"/>
      <c r="J129" s="32"/>
      <c r="K129" s="32"/>
      <c r="L129" s="93"/>
      <c r="M129" s="75"/>
    </row>
    <row r="130" spans="1:13" s="5" customFormat="1" hidden="1" x14ac:dyDescent="0.2">
      <c r="A130" s="93"/>
      <c r="B130" s="108"/>
      <c r="J130" s="32"/>
      <c r="K130" s="32"/>
      <c r="L130" s="93"/>
      <c r="M130" s="75"/>
    </row>
    <row r="131" spans="1:13" s="5" customFormat="1" hidden="1" x14ac:dyDescent="0.2">
      <c r="A131" s="93"/>
      <c r="B131" s="108"/>
      <c r="J131" s="32"/>
      <c r="K131" s="32"/>
      <c r="L131" s="93"/>
      <c r="M131" s="75"/>
    </row>
    <row r="132" spans="1:13" s="5" customFormat="1" hidden="1" x14ac:dyDescent="0.2">
      <c r="A132" s="93"/>
      <c r="B132" s="108"/>
      <c r="J132" s="32"/>
      <c r="K132" s="32"/>
      <c r="L132" s="93"/>
      <c r="M132" s="75"/>
    </row>
    <row r="133" spans="1:13" s="5" customFormat="1" hidden="1" x14ac:dyDescent="0.2">
      <c r="A133" s="93"/>
      <c r="B133" s="108"/>
      <c r="J133" s="32"/>
      <c r="K133" s="32"/>
      <c r="L133" s="93"/>
      <c r="M133" s="75"/>
    </row>
    <row r="134" spans="1:13" s="5" customFormat="1" hidden="1" x14ac:dyDescent="0.2">
      <c r="A134" s="93"/>
      <c r="B134" s="108"/>
      <c r="J134" s="32"/>
      <c r="K134" s="32"/>
      <c r="L134" s="93"/>
      <c r="M134" s="75"/>
    </row>
    <row r="135" spans="1:13" s="5" customFormat="1" hidden="1" x14ac:dyDescent="0.2">
      <c r="A135" s="93"/>
      <c r="B135" s="108"/>
      <c r="J135" s="32"/>
      <c r="K135" s="32"/>
      <c r="L135" s="93"/>
      <c r="M135" s="75"/>
    </row>
    <row r="136" spans="1:13" s="5" customFormat="1" hidden="1" x14ac:dyDescent="0.2">
      <c r="A136" s="93"/>
      <c r="B136" s="108"/>
      <c r="J136" s="32"/>
      <c r="K136" s="32"/>
      <c r="L136" s="93"/>
      <c r="M136" s="75"/>
    </row>
    <row r="137" spans="1:13" s="5" customFormat="1" hidden="1" x14ac:dyDescent="0.2">
      <c r="A137" s="93"/>
      <c r="B137" s="108"/>
      <c r="J137" s="32"/>
      <c r="K137" s="32"/>
      <c r="L137" s="93"/>
      <c r="M137" s="75"/>
    </row>
    <row r="138" spans="1:13" s="5" customFormat="1" hidden="1" x14ac:dyDescent="0.2">
      <c r="A138" s="93"/>
      <c r="B138" s="108"/>
      <c r="J138" s="32"/>
      <c r="K138" s="32"/>
      <c r="L138" s="93"/>
      <c r="M138" s="75"/>
    </row>
    <row r="139" spans="1:13" s="5" customFormat="1" hidden="1" x14ac:dyDescent="0.2">
      <c r="A139" s="93"/>
      <c r="B139" s="108"/>
      <c r="J139" s="32"/>
      <c r="K139" s="32"/>
      <c r="L139" s="93"/>
      <c r="M139" s="75"/>
    </row>
    <row r="140" spans="1:13" s="5" customFormat="1" hidden="1" x14ac:dyDescent="0.2">
      <c r="A140" s="93"/>
      <c r="B140" s="108"/>
      <c r="J140" s="32"/>
      <c r="K140" s="32"/>
      <c r="L140" s="93"/>
      <c r="M140" s="75"/>
    </row>
    <row r="141" spans="1:13" s="5" customFormat="1" hidden="1" x14ac:dyDescent="0.2">
      <c r="A141" s="93"/>
      <c r="B141" s="108"/>
      <c r="J141" s="32"/>
      <c r="K141" s="32"/>
      <c r="L141" s="93"/>
      <c r="M141" s="75"/>
    </row>
    <row r="142" spans="1:13" s="5" customFormat="1" hidden="1" x14ac:dyDescent="0.2">
      <c r="A142" s="93"/>
      <c r="B142" s="108"/>
      <c r="J142" s="32"/>
      <c r="K142" s="32"/>
      <c r="L142" s="93"/>
      <c r="M142" s="75"/>
    </row>
    <row r="143" spans="1:13" s="5" customFormat="1" hidden="1" x14ac:dyDescent="0.2">
      <c r="A143" s="93"/>
      <c r="B143" s="108"/>
      <c r="J143" s="32"/>
      <c r="K143" s="32"/>
      <c r="L143" s="93"/>
      <c r="M143" s="75"/>
    </row>
    <row r="144" spans="1:13" s="5" customFormat="1" hidden="1" x14ac:dyDescent="0.2">
      <c r="A144" s="93"/>
      <c r="B144" s="108"/>
      <c r="J144" s="32"/>
      <c r="K144" s="32"/>
      <c r="L144" s="93"/>
      <c r="M144" s="75"/>
    </row>
    <row r="145" spans="1:13" s="5" customFormat="1" hidden="1" x14ac:dyDescent="0.2">
      <c r="A145" s="93"/>
      <c r="B145" s="108"/>
      <c r="J145" s="32"/>
      <c r="K145" s="32"/>
      <c r="L145" s="93"/>
      <c r="M145" s="75"/>
    </row>
    <row r="146" spans="1:13" s="5" customFormat="1" hidden="1" x14ac:dyDescent="0.2">
      <c r="A146" s="93"/>
      <c r="B146" s="108"/>
      <c r="J146" s="32"/>
      <c r="K146" s="32"/>
      <c r="L146" s="93"/>
      <c r="M146" s="75"/>
    </row>
    <row r="147" spans="1:13" s="5" customFormat="1" hidden="1" x14ac:dyDescent="0.2">
      <c r="A147" s="93"/>
      <c r="B147" s="108"/>
      <c r="J147" s="32"/>
      <c r="K147" s="32"/>
      <c r="L147" s="93"/>
      <c r="M147" s="75"/>
    </row>
    <row r="148" spans="1:13" s="5" customFormat="1" hidden="1" x14ac:dyDescent="0.2">
      <c r="A148" s="93"/>
      <c r="B148" s="108"/>
      <c r="J148" s="32"/>
      <c r="K148" s="32"/>
      <c r="L148" s="93"/>
      <c r="M148" s="75"/>
    </row>
    <row r="149" spans="1:13" s="5" customFormat="1" hidden="1" x14ac:dyDescent="0.2">
      <c r="A149" s="93"/>
      <c r="B149" s="108"/>
      <c r="J149" s="32"/>
      <c r="K149" s="32"/>
      <c r="L149" s="93"/>
      <c r="M149" s="75"/>
    </row>
    <row r="150" spans="1:13" s="5" customFormat="1" hidden="1" x14ac:dyDescent="0.2">
      <c r="A150" s="93"/>
      <c r="B150" s="108"/>
      <c r="J150" s="32"/>
      <c r="K150" s="32"/>
      <c r="L150" s="93"/>
      <c r="M150" s="75"/>
    </row>
    <row r="151" spans="1:13" s="5" customFormat="1" hidden="1" x14ac:dyDescent="0.2">
      <c r="A151" s="93"/>
      <c r="B151" s="108"/>
      <c r="J151" s="32"/>
      <c r="K151" s="32"/>
      <c r="L151" s="93"/>
      <c r="M151" s="75"/>
    </row>
    <row r="152" spans="1:13" s="5" customFormat="1" hidden="1" x14ac:dyDescent="0.2">
      <c r="A152" s="93"/>
      <c r="B152" s="108"/>
      <c r="J152" s="32"/>
      <c r="K152" s="32"/>
      <c r="L152" s="93"/>
      <c r="M152" s="75"/>
    </row>
    <row r="153" spans="1:13" s="5" customFormat="1" hidden="1" x14ac:dyDescent="0.2">
      <c r="A153" s="93"/>
      <c r="B153" s="108"/>
      <c r="J153" s="32"/>
      <c r="K153" s="32"/>
      <c r="L153" s="93"/>
      <c r="M153" s="75"/>
    </row>
    <row r="154" spans="1:13" s="5" customFormat="1" hidden="1" x14ac:dyDescent="0.2">
      <c r="A154" s="93"/>
      <c r="B154" s="108"/>
      <c r="J154" s="32"/>
      <c r="K154" s="32"/>
      <c r="L154" s="93"/>
      <c r="M154" s="75"/>
    </row>
    <row r="155" spans="1:13" s="5" customFormat="1" hidden="1" x14ac:dyDescent="0.2">
      <c r="A155" s="93"/>
      <c r="B155" s="108"/>
      <c r="J155" s="32"/>
      <c r="K155" s="32"/>
      <c r="L155" s="93"/>
      <c r="M155" s="75"/>
    </row>
    <row r="156" spans="1:13" s="5" customFormat="1" hidden="1" x14ac:dyDescent="0.2">
      <c r="A156" s="93"/>
      <c r="B156" s="108"/>
      <c r="J156" s="32"/>
      <c r="K156" s="32"/>
      <c r="L156" s="93"/>
      <c r="M156" s="75"/>
    </row>
    <row r="157" spans="1:13" s="5" customFormat="1" hidden="1" x14ac:dyDescent="0.2">
      <c r="A157" s="93"/>
      <c r="B157" s="108"/>
      <c r="J157" s="32"/>
      <c r="K157" s="32"/>
      <c r="L157" s="93"/>
      <c r="M157" s="75"/>
    </row>
    <row r="158" spans="1:13" s="5" customFormat="1" hidden="1" x14ac:dyDescent="0.2">
      <c r="A158" s="93"/>
      <c r="B158" s="108"/>
      <c r="J158" s="32"/>
      <c r="K158" s="32"/>
      <c r="L158" s="93"/>
      <c r="M158" s="75"/>
    </row>
    <row r="159" spans="1:13" s="5" customFormat="1" hidden="1" x14ac:dyDescent="0.2">
      <c r="A159" s="93"/>
      <c r="B159" s="108"/>
      <c r="J159" s="32"/>
      <c r="K159" s="32"/>
      <c r="L159" s="93"/>
      <c r="M159" s="75"/>
    </row>
    <row r="160" spans="1:13" s="5" customFormat="1" hidden="1" x14ac:dyDescent="0.2">
      <c r="A160" s="93"/>
      <c r="B160" s="108"/>
      <c r="J160" s="32"/>
      <c r="K160" s="32"/>
      <c r="L160" s="93"/>
      <c r="M160" s="75"/>
    </row>
    <row r="161" spans="1:13" s="5" customFormat="1" hidden="1" x14ac:dyDescent="0.2">
      <c r="A161" s="93"/>
      <c r="B161" s="108"/>
      <c r="J161" s="32"/>
      <c r="K161" s="32"/>
      <c r="L161" s="93"/>
      <c r="M161" s="75"/>
    </row>
    <row r="162" spans="1:13" s="5" customFormat="1" hidden="1" x14ac:dyDescent="0.2">
      <c r="A162" s="93"/>
      <c r="B162" s="108"/>
      <c r="J162" s="32"/>
      <c r="K162" s="32"/>
      <c r="L162" s="93"/>
      <c r="M162" s="75"/>
    </row>
    <row r="163" spans="1:13" s="5" customFormat="1" hidden="1" x14ac:dyDescent="0.2">
      <c r="A163" s="93"/>
      <c r="B163" s="108"/>
      <c r="J163" s="32"/>
      <c r="K163" s="32"/>
      <c r="L163" s="93"/>
      <c r="M163" s="75"/>
    </row>
    <row r="164" spans="1:13" s="5" customFormat="1" hidden="1" x14ac:dyDescent="0.2">
      <c r="A164" s="93"/>
      <c r="B164" s="108"/>
      <c r="J164" s="32"/>
      <c r="K164" s="32"/>
      <c r="L164" s="93"/>
      <c r="M164" s="75"/>
    </row>
    <row r="165" spans="1:13" s="5" customFormat="1" hidden="1" x14ac:dyDescent="0.2">
      <c r="A165" s="93"/>
      <c r="B165" s="108"/>
      <c r="J165" s="32"/>
      <c r="K165" s="32"/>
      <c r="L165" s="93"/>
      <c r="M165" s="75"/>
    </row>
    <row r="166" spans="1:13" s="5" customFormat="1" hidden="1" x14ac:dyDescent="0.2">
      <c r="A166" s="93"/>
      <c r="B166" s="108"/>
      <c r="J166" s="32"/>
      <c r="K166" s="32"/>
      <c r="L166" s="93"/>
      <c r="M166" s="75"/>
    </row>
    <row r="167" spans="1:13" s="5" customFormat="1" hidden="1" x14ac:dyDescent="0.2">
      <c r="A167" s="93"/>
      <c r="B167" s="108"/>
      <c r="J167" s="32"/>
      <c r="K167" s="32"/>
      <c r="L167" s="93"/>
      <c r="M167" s="75"/>
    </row>
    <row r="168" spans="1:13" s="5" customFormat="1" hidden="1" x14ac:dyDescent="0.2">
      <c r="A168" s="93"/>
      <c r="B168" s="108"/>
      <c r="J168" s="32"/>
      <c r="K168" s="32"/>
      <c r="L168" s="93"/>
      <c r="M168" s="75"/>
    </row>
    <row r="169" spans="1:13" s="5" customFormat="1" hidden="1" x14ac:dyDescent="0.2">
      <c r="A169" s="93"/>
      <c r="B169" s="108"/>
      <c r="J169" s="32"/>
      <c r="K169" s="32"/>
      <c r="L169" s="93"/>
      <c r="M169" s="75"/>
    </row>
    <row r="170" spans="1:13" s="5" customFormat="1" hidden="1" x14ac:dyDescent="0.2">
      <c r="A170" s="93"/>
      <c r="B170" s="108"/>
      <c r="J170" s="32"/>
      <c r="K170" s="32"/>
      <c r="L170" s="93"/>
      <c r="M170" s="75"/>
    </row>
    <row r="171" spans="1:13" s="5" customFormat="1" hidden="1" x14ac:dyDescent="0.2">
      <c r="A171" s="93"/>
      <c r="B171" s="108"/>
      <c r="J171" s="32"/>
      <c r="K171" s="32"/>
      <c r="L171" s="93"/>
      <c r="M171" s="75"/>
    </row>
    <row r="172" spans="1:13" s="5" customFormat="1" hidden="1" x14ac:dyDescent="0.2">
      <c r="A172" s="93"/>
      <c r="B172" s="108"/>
      <c r="J172" s="32"/>
      <c r="K172" s="32"/>
      <c r="L172" s="93"/>
      <c r="M172" s="75"/>
    </row>
    <row r="173" spans="1:13" s="5" customFormat="1" hidden="1" x14ac:dyDescent="0.2">
      <c r="A173" s="93"/>
      <c r="B173" s="108"/>
      <c r="J173" s="32"/>
      <c r="K173" s="32"/>
      <c r="L173" s="93"/>
      <c r="M173" s="75"/>
    </row>
    <row r="174" spans="1:13" s="5" customFormat="1" hidden="1" x14ac:dyDescent="0.2">
      <c r="A174" s="93"/>
      <c r="B174" s="108"/>
      <c r="J174" s="32"/>
      <c r="K174" s="32"/>
      <c r="L174" s="93"/>
      <c r="M174" s="75"/>
    </row>
    <row r="175" spans="1:13" s="5" customFormat="1" hidden="1" x14ac:dyDescent="0.2">
      <c r="A175" s="93"/>
      <c r="B175" s="108"/>
      <c r="J175" s="32"/>
      <c r="K175" s="32"/>
      <c r="L175" s="93"/>
      <c r="M175" s="75"/>
    </row>
    <row r="176" spans="1:13" s="5" customFormat="1" hidden="1" x14ac:dyDescent="0.2">
      <c r="A176" s="93"/>
      <c r="B176" s="108"/>
      <c r="J176" s="32"/>
      <c r="K176" s="32"/>
      <c r="L176" s="93"/>
      <c r="M176" s="75"/>
    </row>
    <row r="177" spans="1:13" s="5" customFormat="1" hidden="1" x14ac:dyDescent="0.2">
      <c r="A177" s="93"/>
      <c r="B177" s="108"/>
      <c r="J177" s="32"/>
      <c r="K177" s="32"/>
      <c r="L177" s="93"/>
      <c r="M177" s="75"/>
    </row>
    <row r="178" spans="1:13" s="5" customFormat="1" hidden="1" x14ac:dyDescent="0.2">
      <c r="A178" s="93"/>
      <c r="B178" s="108"/>
      <c r="J178" s="32"/>
      <c r="K178" s="32"/>
      <c r="L178" s="93"/>
      <c r="M178" s="75"/>
    </row>
    <row r="179" spans="1:13" s="5" customFormat="1" hidden="1" x14ac:dyDescent="0.2">
      <c r="A179" s="93"/>
      <c r="B179" s="108"/>
      <c r="J179" s="32"/>
      <c r="K179" s="32"/>
      <c r="L179" s="93"/>
      <c r="M179" s="75"/>
    </row>
    <row r="180" spans="1:13" s="5" customFormat="1" hidden="1" x14ac:dyDescent="0.2">
      <c r="A180" s="93"/>
      <c r="B180" s="108"/>
      <c r="J180" s="32"/>
      <c r="K180" s="32"/>
      <c r="L180" s="93"/>
      <c r="M180" s="75"/>
    </row>
    <row r="181" spans="1:13" s="5" customFormat="1" hidden="1" x14ac:dyDescent="0.2">
      <c r="A181" s="93"/>
      <c r="B181" s="108"/>
      <c r="J181" s="32"/>
      <c r="K181" s="32"/>
      <c r="L181" s="93"/>
      <c r="M181" s="75"/>
    </row>
    <row r="182" spans="1:13" s="5" customFormat="1" hidden="1" x14ac:dyDescent="0.2">
      <c r="A182" s="93"/>
      <c r="B182" s="108"/>
      <c r="J182" s="32"/>
      <c r="K182" s="32"/>
      <c r="L182" s="93"/>
      <c r="M182" s="75"/>
    </row>
    <row r="183" spans="1:13" s="5" customFormat="1" hidden="1" x14ac:dyDescent="0.2">
      <c r="A183" s="93"/>
      <c r="B183" s="108"/>
      <c r="J183" s="32"/>
      <c r="K183" s="32"/>
      <c r="L183" s="93"/>
      <c r="M183" s="75"/>
    </row>
    <row r="184" spans="1:13" s="5" customFormat="1" hidden="1" x14ac:dyDescent="0.2">
      <c r="A184" s="93"/>
      <c r="B184" s="108"/>
      <c r="J184" s="32"/>
      <c r="K184" s="32"/>
      <c r="L184" s="93"/>
      <c r="M184" s="75"/>
    </row>
    <row r="185" spans="1:13" s="5" customFormat="1" hidden="1" x14ac:dyDescent="0.2">
      <c r="A185" s="93"/>
      <c r="B185" s="108"/>
      <c r="J185" s="32"/>
      <c r="K185" s="32"/>
      <c r="L185" s="93"/>
      <c r="M185" s="75"/>
    </row>
    <row r="186" spans="1:13" s="5" customFormat="1" hidden="1" x14ac:dyDescent="0.2">
      <c r="A186" s="93"/>
      <c r="B186" s="108"/>
      <c r="J186" s="32"/>
      <c r="K186" s="32"/>
      <c r="L186" s="93"/>
      <c r="M186" s="75"/>
    </row>
    <row r="187" spans="1:13" s="5" customFormat="1" hidden="1" x14ac:dyDescent="0.2">
      <c r="A187" s="93"/>
      <c r="B187" s="108"/>
      <c r="J187" s="32"/>
      <c r="K187" s="32"/>
      <c r="L187" s="93"/>
      <c r="M187" s="75"/>
    </row>
    <row r="188" spans="1:13" s="5" customFormat="1" hidden="1" x14ac:dyDescent="0.2">
      <c r="A188" s="93"/>
      <c r="B188" s="108"/>
      <c r="J188" s="32"/>
      <c r="K188" s="32"/>
      <c r="L188" s="93"/>
      <c r="M188" s="75"/>
    </row>
    <row r="189" spans="1:13" s="5" customFormat="1" hidden="1" x14ac:dyDescent="0.2">
      <c r="A189" s="93"/>
      <c r="B189" s="108"/>
      <c r="J189" s="32"/>
      <c r="K189" s="32"/>
      <c r="L189" s="93"/>
      <c r="M189" s="75"/>
    </row>
    <row r="190" spans="1:13" s="5" customFormat="1" hidden="1" x14ac:dyDescent="0.2">
      <c r="A190" s="93"/>
      <c r="B190" s="108"/>
      <c r="J190" s="32"/>
      <c r="K190" s="32"/>
      <c r="L190" s="93"/>
      <c r="M190" s="75"/>
    </row>
    <row r="191" spans="1:13" s="5" customFormat="1" hidden="1" x14ac:dyDescent="0.2">
      <c r="A191" s="93"/>
      <c r="B191" s="108"/>
      <c r="J191" s="32"/>
      <c r="K191" s="32"/>
      <c r="L191" s="93"/>
      <c r="M191" s="75"/>
    </row>
    <row r="192" spans="1:13" s="5" customFormat="1" hidden="1" x14ac:dyDescent="0.2">
      <c r="A192" s="93"/>
      <c r="B192" s="108"/>
      <c r="J192" s="32"/>
      <c r="K192" s="32"/>
      <c r="L192" s="93"/>
      <c r="M192" s="75"/>
    </row>
    <row r="193" spans="1:13" s="5" customFormat="1" hidden="1" x14ac:dyDescent="0.2">
      <c r="A193" s="93"/>
      <c r="B193" s="108"/>
      <c r="J193" s="32"/>
      <c r="K193" s="32"/>
      <c r="L193" s="93"/>
      <c r="M193" s="75"/>
    </row>
    <row r="194" spans="1:13" s="5" customFormat="1" hidden="1" x14ac:dyDescent="0.2">
      <c r="A194" s="93"/>
      <c r="B194" s="108"/>
      <c r="J194" s="32"/>
      <c r="K194" s="32"/>
      <c r="L194" s="93"/>
      <c r="M194" s="75"/>
    </row>
    <row r="195" spans="1:13" s="5" customFormat="1" hidden="1" x14ac:dyDescent="0.2">
      <c r="A195" s="93"/>
      <c r="B195" s="108"/>
      <c r="J195" s="32"/>
      <c r="K195" s="32"/>
      <c r="L195" s="93"/>
      <c r="M195" s="75"/>
    </row>
    <row r="196" spans="1:13" s="5" customFormat="1" hidden="1" x14ac:dyDescent="0.2">
      <c r="A196" s="93"/>
      <c r="B196" s="108"/>
      <c r="J196" s="32"/>
      <c r="K196" s="32"/>
      <c r="L196" s="93"/>
      <c r="M196" s="75"/>
    </row>
    <row r="197" spans="1:13" hidden="1" x14ac:dyDescent="0.2">
      <c r="B197" s="108"/>
      <c r="C197" s="5"/>
      <c r="D197" s="5"/>
      <c r="E197" s="5"/>
      <c r="F197" s="5"/>
      <c r="G197" s="5"/>
      <c r="H197" s="5"/>
      <c r="I197" s="5"/>
    </row>
    <row r="198" spans="1:13" hidden="1" x14ac:dyDescent="0.2">
      <c r="B198" s="108"/>
      <c r="C198" s="5"/>
      <c r="D198" s="5"/>
      <c r="E198" s="5"/>
      <c r="F198" s="5"/>
      <c r="G198" s="5"/>
      <c r="H198" s="5"/>
      <c r="I198" s="5"/>
    </row>
    <row r="199" spans="1:13" hidden="1" x14ac:dyDescent="0.2">
      <c r="B199" s="108"/>
      <c r="C199" s="5"/>
      <c r="D199" s="5"/>
      <c r="E199" s="5"/>
      <c r="F199" s="5"/>
      <c r="G199" s="5"/>
      <c r="H199" s="5"/>
      <c r="I199" s="5"/>
    </row>
    <row r="200" spans="1:13" hidden="1" x14ac:dyDescent="0.2">
      <c r="B200" s="108"/>
      <c r="C200" s="5"/>
      <c r="D200" s="5"/>
      <c r="E200" s="5"/>
      <c r="F200" s="5"/>
      <c r="G200" s="5"/>
      <c r="H200" s="5"/>
      <c r="I200" s="5"/>
    </row>
    <row r="201" spans="1:13" hidden="1" x14ac:dyDescent="0.2">
      <c r="B201" s="108"/>
      <c r="C201" s="5"/>
      <c r="D201" s="5"/>
      <c r="E201" s="5"/>
      <c r="F201" s="5"/>
      <c r="G201" s="5"/>
      <c r="H201" s="5"/>
      <c r="I201" s="5"/>
    </row>
  </sheetData>
  <sheetProtection selectLockedCells="1"/>
  <pageMargins left="0.7" right="0.7" top="0.75" bottom="0.75" header="0.3" footer="0.3"/>
  <pageSetup scale="46" orientation="landscape" r:id="rId1"/>
  <headerFooter>
    <oddHeader>&amp;R&amp;"Calibri"&amp;10&amp;K000000 Unclassified / Non classifié&amp;1#_x000D_</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I141"/>
  <sheetViews>
    <sheetView zoomScale="60" zoomScaleNormal="60" workbookViewId="0">
      <pane xSplit="2" topLeftCell="C1" activePane="topRight" state="frozen"/>
      <selection pane="topRight" activeCell="B82" sqref="B82"/>
    </sheetView>
  </sheetViews>
  <sheetFormatPr defaultColWidth="0" defaultRowHeight="15" zeroHeight="1" x14ac:dyDescent="0.2"/>
  <cols>
    <col min="1" max="1" width="2.375" style="94" customWidth="1"/>
    <col min="2" max="2" width="148.625" style="96" customWidth="1"/>
    <col min="3" max="3" width="15.125" style="96" bestFit="1" customWidth="1"/>
    <col min="4" max="5" width="15.5" style="96" bestFit="1" customWidth="1"/>
    <col min="6" max="6" width="12" style="96" bestFit="1" customWidth="1"/>
    <col min="7" max="7" width="12.25" style="96" bestFit="1" customWidth="1"/>
    <col min="8" max="8" width="12" style="96" bestFit="1" customWidth="1"/>
    <col min="9" max="9" width="12.25" style="96" bestFit="1" customWidth="1"/>
    <col min="10" max="10" width="12" style="96" bestFit="1" customWidth="1"/>
    <col min="11" max="11" width="12.25" style="96" bestFit="1" customWidth="1"/>
    <col min="12" max="12" width="11.625" style="96" bestFit="1" customWidth="1"/>
    <col min="13" max="13" width="12.25" style="96" bestFit="1" customWidth="1"/>
    <col min="14" max="14" width="12" style="96" bestFit="1" customWidth="1"/>
    <col min="15" max="15" width="12.25" style="96" bestFit="1" customWidth="1"/>
    <col min="16" max="16" width="9.625" style="96" customWidth="1"/>
    <col min="17" max="17" width="17.125" style="96" customWidth="1"/>
    <col min="18" max="18" width="12.25" style="96" bestFit="1" customWidth="1"/>
    <col min="19" max="19" width="10.75" style="96" customWidth="1"/>
    <col min="20" max="20" width="17.25" style="96" customWidth="1"/>
    <col min="21" max="21" width="12.25" style="96" bestFit="1" customWidth="1"/>
    <col min="22" max="22" width="11.625" style="96" bestFit="1" customWidth="1"/>
    <col min="23" max="23" width="16" style="96" customWidth="1"/>
    <col min="24" max="24" width="12.25" style="96" bestFit="1" customWidth="1"/>
    <col min="25" max="25" width="12" style="96" bestFit="1" customWidth="1"/>
    <col min="26" max="26" width="29.125" style="96" customWidth="1"/>
    <col min="27" max="27" width="15.75" style="5" customWidth="1"/>
    <col min="28" max="28" width="14.5" style="5" customWidth="1"/>
    <col min="29" max="29" width="15.125" style="5" bestFit="1" customWidth="1"/>
    <col min="30" max="30" width="15" style="5" customWidth="1"/>
    <col min="31" max="31" width="14.625" style="5" customWidth="1"/>
    <col min="32" max="32" width="14.5" style="5" customWidth="1"/>
    <col min="33" max="33" width="15.125" style="5" bestFit="1" customWidth="1"/>
    <col min="34" max="34" width="17" style="5" bestFit="1" customWidth="1"/>
    <col min="35" max="35" width="14.75" style="5" customWidth="1"/>
    <col min="36" max="36" width="14.5" style="5" customWidth="1"/>
    <col min="37" max="37" width="15.125" style="5" bestFit="1" customWidth="1"/>
    <col min="38" max="38" width="17" style="5" bestFit="1" customWidth="1"/>
    <col min="39" max="39" width="2.375" style="94" customWidth="1"/>
    <col min="40" max="40" width="0" style="99" hidden="1" customWidth="1"/>
    <col min="41" max="61" width="0" style="96" hidden="1" customWidth="1"/>
    <col min="62" max="16384" width="9" style="96" hidden="1"/>
  </cols>
  <sheetData>
    <row r="1" spans="1:38" s="94" customFormat="1" x14ac:dyDescent="0.2">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47"/>
      <c r="AB1" s="47"/>
      <c r="AC1" s="47"/>
      <c r="AD1" s="47"/>
      <c r="AE1" s="47"/>
      <c r="AF1" s="47"/>
      <c r="AG1" s="47"/>
      <c r="AH1" s="47"/>
      <c r="AI1" s="47"/>
      <c r="AJ1" s="47"/>
      <c r="AK1" s="47"/>
      <c r="AL1" s="47"/>
    </row>
    <row r="2" spans="1:38" ht="15.75" x14ac:dyDescent="0.2">
      <c r="A2" s="268"/>
      <c r="B2" s="203" t="s">
        <v>220</v>
      </c>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row>
    <row r="3" spans="1:38" ht="34.5" customHeight="1" x14ac:dyDescent="0.2">
      <c r="A3" s="93"/>
      <c r="B3" s="394" t="s">
        <v>221</v>
      </c>
      <c r="C3" s="15"/>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row>
    <row r="4" spans="1:38" ht="15.75" x14ac:dyDescent="0.2">
      <c r="A4" s="93"/>
      <c r="B4" s="204" t="s">
        <v>89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row>
    <row r="5" spans="1:38" ht="15.75" x14ac:dyDescent="0.2">
      <c r="A5" s="93"/>
      <c r="B5" s="266" t="s">
        <v>222</v>
      </c>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row>
    <row r="6" spans="1:38" ht="30" x14ac:dyDescent="0.2">
      <c r="A6" s="93"/>
      <c r="B6" s="366" t="s">
        <v>223</v>
      </c>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row>
    <row r="7" spans="1:38" ht="15.75" x14ac:dyDescent="0.2">
      <c r="A7" s="93"/>
      <c r="B7" s="15"/>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row>
    <row r="8" spans="1:38" ht="15.75" x14ac:dyDescent="0.2">
      <c r="A8" s="93"/>
      <c r="B8" s="15" t="s">
        <v>224</v>
      </c>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row>
    <row r="9" spans="1:38" x14ac:dyDescent="0.2">
      <c r="A9" s="93"/>
      <c r="B9" s="200" t="s">
        <v>225</v>
      </c>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row>
    <row r="10" spans="1:38" ht="30" x14ac:dyDescent="0.2">
      <c r="A10" s="93"/>
      <c r="B10" s="366" t="s">
        <v>226</v>
      </c>
      <c r="C10" s="200"/>
      <c r="D10" s="200"/>
      <c r="E10" s="200"/>
      <c r="F10" s="200"/>
      <c r="G10" s="200"/>
      <c r="H10" s="200"/>
      <c r="I10" s="200"/>
      <c r="J10" s="98"/>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row>
    <row r="11" spans="1:38" x14ac:dyDescent="0.2">
      <c r="A11" s="93"/>
      <c r="B11" s="200" t="s">
        <v>227</v>
      </c>
      <c r="C11" s="200"/>
      <c r="D11" s="200"/>
      <c r="E11" s="200"/>
      <c r="F11" s="200"/>
      <c r="G11" s="200"/>
      <c r="H11" s="200"/>
      <c r="I11" s="200"/>
      <c r="J11" s="98">
        <v>0</v>
      </c>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row>
    <row r="12" spans="1:38" ht="20.45" customHeight="1" x14ac:dyDescent="0.2">
      <c r="A12" s="93"/>
      <c r="B12" s="447" t="s">
        <v>228</v>
      </c>
      <c r="C12" s="447"/>
      <c r="D12" s="447"/>
      <c r="E12" s="447"/>
      <c r="F12" s="447"/>
      <c r="G12" s="447"/>
      <c r="H12" s="447"/>
      <c r="I12" s="447"/>
      <c r="J12" s="447"/>
      <c r="K12" s="447"/>
      <c r="L12" s="447"/>
      <c r="M12" s="447"/>
      <c r="N12" s="447"/>
      <c r="O12" s="447"/>
      <c r="P12" s="447"/>
      <c r="Q12" s="447"/>
      <c r="R12" s="447"/>
      <c r="S12" s="447"/>
      <c r="T12" s="447"/>
      <c r="U12" s="200"/>
      <c r="V12" s="200"/>
      <c r="W12" s="200"/>
      <c r="X12" s="200"/>
      <c r="Y12" s="200"/>
      <c r="Z12" s="200"/>
      <c r="AA12" s="200"/>
      <c r="AB12" s="200"/>
      <c r="AC12" s="200"/>
      <c r="AD12" s="200"/>
      <c r="AE12" s="200"/>
      <c r="AF12" s="200"/>
      <c r="AG12" s="200"/>
      <c r="AH12" s="200"/>
      <c r="AI12" s="200"/>
      <c r="AJ12" s="200"/>
      <c r="AK12" s="200"/>
      <c r="AL12" s="200"/>
    </row>
    <row r="13" spans="1:38" ht="33.950000000000003" customHeight="1" x14ac:dyDescent="0.2">
      <c r="A13" s="93"/>
      <c r="B13" s="441" t="s">
        <v>229</v>
      </c>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row>
    <row r="14" spans="1:38" ht="15.75" x14ac:dyDescent="0.2">
      <c r="A14" s="93"/>
      <c r="B14" s="202" t="s">
        <v>230</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row>
    <row r="15" spans="1:38" ht="51.6" customHeight="1" x14ac:dyDescent="0.2">
      <c r="A15" s="93"/>
      <c r="B15" s="442" t="s">
        <v>231</v>
      </c>
      <c r="C15" s="15"/>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row>
    <row r="16" spans="1:38" ht="30" hidden="1" x14ac:dyDescent="0.2">
      <c r="A16" s="268"/>
      <c r="B16" s="366" t="s">
        <v>232</v>
      </c>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row>
    <row r="17" spans="1:61" ht="48.6" customHeight="1" x14ac:dyDescent="0.2">
      <c r="A17" s="268"/>
      <c r="B17" s="398" t="s">
        <v>233</v>
      </c>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68"/>
      <c r="AN17" s="202"/>
      <c r="AO17" s="340"/>
      <c r="AP17" s="340"/>
      <c r="AQ17" s="340"/>
      <c r="AR17" s="340"/>
      <c r="AS17" s="340"/>
      <c r="AT17" s="340"/>
      <c r="AU17" s="340"/>
      <c r="AV17" s="340"/>
      <c r="AW17" s="340"/>
      <c r="AX17" s="340"/>
      <c r="AY17" s="340"/>
      <c r="AZ17" s="340"/>
      <c r="BA17" s="340"/>
      <c r="BB17" s="340"/>
      <c r="BC17" s="340"/>
      <c r="BD17" s="340"/>
      <c r="BE17" s="340"/>
      <c r="BF17" s="340"/>
      <c r="BG17" s="340"/>
      <c r="BH17" s="340"/>
      <c r="BI17" s="340"/>
    </row>
    <row r="18" spans="1:61" ht="45" x14ac:dyDescent="0.2">
      <c r="A18" s="268"/>
      <c r="B18" s="398" t="s">
        <v>234</v>
      </c>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68"/>
      <c r="AN18" s="202"/>
      <c r="AO18" s="340"/>
      <c r="AP18" s="340"/>
      <c r="AQ18" s="340"/>
      <c r="AR18" s="340"/>
      <c r="AS18" s="340"/>
      <c r="AT18" s="340"/>
      <c r="AU18" s="340"/>
      <c r="AV18" s="340"/>
      <c r="AW18" s="340"/>
      <c r="AX18" s="340"/>
      <c r="AY18" s="340"/>
      <c r="AZ18" s="340"/>
      <c r="BA18" s="340"/>
      <c r="BB18" s="340"/>
      <c r="BC18" s="340"/>
      <c r="BD18" s="340"/>
      <c r="BE18" s="340"/>
      <c r="BF18" s="340"/>
      <c r="BG18" s="340"/>
      <c r="BH18" s="340"/>
      <c r="BI18" s="340"/>
    </row>
    <row r="19" spans="1:61" x14ac:dyDescent="0.2">
      <c r="A19" s="268"/>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68"/>
      <c r="AN19" s="202"/>
      <c r="AO19" s="340"/>
      <c r="AP19" s="340"/>
      <c r="AQ19" s="340"/>
      <c r="AR19" s="340"/>
      <c r="AS19" s="340"/>
      <c r="AT19" s="340"/>
      <c r="AU19" s="340"/>
      <c r="AV19" s="340"/>
      <c r="AW19" s="340"/>
      <c r="AX19" s="340"/>
      <c r="AY19" s="340"/>
      <c r="AZ19" s="340"/>
      <c r="BA19" s="340"/>
      <c r="BB19" s="340"/>
      <c r="BC19" s="340"/>
      <c r="BD19" s="340"/>
      <c r="BE19" s="340"/>
      <c r="BF19" s="340"/>
      <c r="BG19" s="340"/>
      <c r="BH19" s="340"/>
      <c r="BI19" s="340"/>
    </row>
    <row r="20" spans="1:61" ht="31.5" x14ac:dyDescent="0.2">
      <c r="A20" s="268"/>
      <c r="B20" s="433" t="s">
        <v>235</v>
      </c>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68"/>
      <c r="AN20" s="202"/>
      <c r="AO20" s="340"/>
      <c r="AP20" s="340"/>
      <c r="AQ20" s="340"/>
      <c r="AR20" s="340"/>
      <c r="AS20" s="340"/>
      <c r="AT20" s="340"/>
      <c r="AU20" s="340"/>
      <c r="AV20" s="340"/>
      <c r="AW20" s="340"/>
      <c r="AX20" s="340"/>
      <c r="AY20" s="340"/>
      <c r="AZ20" s="340"/>
      <c r="BA20" s="340"/>
      <c r="BB20" s="340"/>
      <c r="BC20" s="340"/>
      <c r="BD20" s="340"/>
      <c r="BE20" s="340"/>
      <c r="BF20" s="340"/>
      <c r="BG20" s="340"/>
      <c r="BH20" s="340"/>
      <c r="BI20" s="340"/>
    </row>
    <row r="21" spans="1:61" x14ac:dyDescent="0.2">
      <c r="A21" s="268"/>
      <c r="B21" s="200" t="s">
        <v>236</v>
      </c>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68"/>
      <c r="AN21" s="202"/>
      <c r="AO21" s="340"/>
      <c r="AP21" s="340"/>
      <c r="AQ21" s="340"/>
      <c r="AR21" s="340"/>
      <c r="AS21" s="340"/>
      <c r="AT21" s="340"/>
      <c r="AU21" s="340"/>
      <c r="AV21" s="340"/>
      <c r="AW21" s="340"/>
      <c r="AX21" s="340"/>
      <c r="AY21" s="340"/>
      <c r="AZ21" s="340"/>
      <c r="BA21" s="340"/>
      <c r="BB21" s="340"/>
      <c r="BC21" s="340"/>
      <c r="BD21" s="340"/>
      <c r="BE21" s="340"/>
      <c r="BF21" s="340"/>
      <c r="BG21" s="340"/>
      <c r="BH21" s="340"/>
      <c r="BI21" s="340"/>
    </row>
    <row r="22" spans="1:61" x14ac:dyDescent="0.2">
      <c r="A22" s="268"/>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68"/>
      <c r="AN22" s="202"/>
      <c r="AO22" s="340"/>
      <c r="AP22" s="340"/>
      <c r="AQ22" s="340"/>
      <c r="AR22" s="340"/>
      <c r="AS22" s="340"/>
      <c r="AT22" s="340"/>
      <c r="AU22" s="340"/>
      <c r="AV22" s="340"/>
      <c r="AW22" s="340"/>
      <c r="AX22" s="340"/>
      <c r="AY22" s="340"/>
      <c r="AZ22" s="340"/>
      <c r="BA22" s="340"/>
      <c r="BB22" s="340"/>
      <c r="BC22" s="340"/>
      <c r="BD22" s="340"/>
      <c r="BE22" s="340"/>
      <c r="BF22" s="340"/>
      <c r="BG22" s="340"/>
      <c r="BH22" s="340"/>
      <c r="BI22" s="340"/>
    </row>
    <row r="23" spans="1:61" ht="15.75" x14ac:dyDescent="0.2">
      <c r="A23" s="268"/>
      <c r="B23" s="15" t="s">
        <v>237</v>
      </c>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68"/>
      <c r="AN23" s="202"/>
      <c r="AO23" s="340"/>
      <c r="AP23" s="340"/>
      <c r="AQ23" s="340"/>
      <c r="AR23" s="340"/>
      <c r="AS23" s="340"/>
      <c r="AT23" s="340"/>
      <c r="AU23" s="340"/>
      <c r="AV23" s="340"/>
      <c r="AW23" s="340"/>
      <c r="AX23" s="340"/>
      <c r="AY23" s="340"/>
      <c r="AZ23" s="340"/>
      <c r="BA23" s="340"/>
      <c r="BB23" s="340"/>
      <c r="BC23" s="340"/>
      <c r="BD23" s="340"/>
      <c r="BE23" s="340"/>
      <c r="BF23" s="340"/>
      <c r="BG23" s="340"/>
      <c r="BH23" s="340"/>
      <c r="BI23" s="340"/>
    </row>
    <row r="24" spans="1:61" ht="30" x14ac:dyDescent="0.2">
      <c r="A24" s="268"/>
      <c r="B24" s="366" t="s">
        <v>238</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68"/>
      <c r="AN24" s="202"/>
      <c r="AO24" s="340"/>
      <c r="AP24" s="340"/>
      <c r="AQ24" s="340"/>
      <c r="AR24" s="340"/>
      <c r="AS24" s="340"/>
      <c r="AT24" s="340"/>
      <c r="AU24" s="340"/>
      <c r="AV24" s="340"/>
      <c r="AW24" s="340"/>
      <c r="AX24" s="340"/>
      <c r="AY24" s="340"/>
      <c r="AZ24" s="340"/>
      <c r="BA24" s="340"/>
      <c r="BB24" s="340"/>
      <c r="BC24" s="340"/>
      <c r="BD24" s="340"/>
      <c r="BE24" s="340"/>
      <c r="BF24" s="340"/>
      <c r="BG24" s="340"/>
      <c r="BH24" s="340"/>
      <c r="BI24" s="340"/>
    </row>
    <row r="25" spans="1:61" x14ac:dyDescent="0.2">
      <c r="A25" s="268"/>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68"/>
      <c r="AN25" s="202"/>
      <c r="AO25" s="340"/>
      <c r="AP25" s="340"/>
      <c r="AQ25" s="340"/>
      <c r="AR25" s="340"/>
      <c r="AS25" s="340"/>
      <c r="AT25" s="340"/>
      <c r="AU25" s="340"/>
      <c r="AV25" s="340"/>
      <c r="AW25" s="340"/>
      <c r="AX25" s="340"/>
      <c r="AY25" s="340"/>
      <c r="AZ25" s="340"/>
      <c r="BA25" s="340"/>
      <c r="BB25" s="340"/>
      <c r="BC25" s="340"/>
      <c r="BD25" s="340"/>
      <c r="BE25" s="340"/>
      <c r="BF25" s="340"/>
      <c r="BG25" s="340"/>
      <c r="BH25" s="340"/>
      <c r="BI25" s="340"/>
    </row>
    <row r="26" spans="1:61" ht="15.75" x14ac:dyDescent="0.2">
      <c r="A26" s="268"/>
      <c r="B26" s="15" t="s">
        <v>239</v>
      </c>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68"/>
      <c r="AN26" s="202"/>
      <c r="AO26" s="340"/>
      <c r="AP26" s="340"/>
      <c r="AQ26" s="340"/>
      <c r="AR26" s="340"/>
      <c r="AS26" s="340"/>
      <c r="AT26" s="340"/>
      <c r="AU26" s="340"/>
      <c r="AV26" s="340"/>
      <c r="AW26" s="340"/>
      <c r="AX26" s="340"/>
      <c r="AY26" s="340"/>
      <c r="AZ26" s="340"/>
      <c r="BA26" s="340"/>
      <c r="BB26" s="340"/>
      <c r="BC26" s="340"/>
      <c r="BD26" s="340"/>
      <c r="BE26" s="340"/>
      <c r="BF26" s="340"/>
      <c r="BG26" s="340"/>
      <c r="BH26" s="340"/>
      <c r="BI26" s="340"/>
    </row>
    <row r="27" spans="1:61" x14ac:dyDescent="0.2">
      <c r="A27" s="268"/>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68"/>
      <c r="AN27" s="202"/>
      <c r="AO27" s="340"/>
      <c r="AP27" s="340"/>
      <c r="AQ27" s="340"/>
      <c r="AR27" s="340"/>
      <c r="AS27" s="340"/>
      <c r="AT27" s="340"/>
      <c r="AU27" s="340"/>
      <c r="AV27" s="340"/>
      <c r="AW27" s="340"/>
      <c r="AX27" s="340"/>
      <c r="AY27" s="340"/>
      <c r="AZ27" s="340"/>
      <c r="BA27" s="340"/>
      <c r="BB27" s="340"/>
      <c r="BC27" s="340"/>
      <c r="BD27" s="340"/>
      <c r="BE27" s="340"/>
      <c r="BF27" s="340"/>
      <c r="BG27" s="340"/>
      <c r="BH27" s="340"/>
      <c r="BI27" s="340"/>
    </row>
    <row r="28" spans="1:61" ht="15.75" hidden="1" x14ac:dyDescent="0.2">
      <c r="A28" s="268"/>
      <c r="B28" s="15" t="s">
        <v>240</v>
      </c>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68"/>
      <c r="AN28" s="202"/>
      <c r="AO28" s="340"/>
      <c r="AP28" s="340"/>
      <c r="AQ28" s="340"/>
      <c r="AR28" s="340"/>
      <c r="AS28" s="340"/>
      <c r="AT28" s="340"/>
      <c r="AU28" s="340"/>
      <c r="AV28" s="340"/>
      <c r="AW28" s="340"/>
      <c r="AX28" s="340"/>
      <c r="AY28" s="340"/>
      <c r="AZ28" s="340"/>
      <c r="BA28" s="340"/>
      <c r="BB28" s="340"/>
      <c r="BC28" s="340"/>
      <c r="BD28" s="340"/>
      <c r="BE28" s="340"/>
      <c r="BF28" s="340"/>
      <c r="BG28" s="340"/>
      <c r="BH28" s="340"/>
      <c r="BI28" s="340"/>
    </row>
    <row r="29" spans="1:61" hidden="1" x14ac:dyDescent="0.2">
      <c r="A29" s="268"/>
      <c r="B29" s="200" t="s">
        <v>241</v>
      </c>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68"/>
      <c r="AN29" s="202"/>
      <c r="AO29" s="340"/>
      <c r="AP29" s="340"/>
      <c r="AQ29" s="340"/>
      <c r="AR29" s="340"/>
      <c r="AS29" s="340"/>
      <c r="AT29" s="340"/>
      <c r="AU29" s="340"/>
      <c r="AV29" s="340"/>
      <c r="AW29" s="340"/>
      <c r="AX29" s="340"/>
      <c r="AY29" s="340"/>
      <c r="AZ29" s="340"/>
      <c r="BA29" s="340"/>
      <c r="BB29" s="340"/>
      <c r="BC29" s="340"/>
      <c r="BD29" s="340"/>
      <c r="BE29" s="340"/>
      <c r="BF29" s="340"/>
      <c r="BG29" s="340"/>
      <c r="BH29" s="340"/>
      <c r="BI29" s="340"/>
    </row>
    <row r="30" spans="1:61" hidden="1" x14ac:dyDescent="0.2">
      <c r="A30" s="268"/>
      <c r="B30" s="200" t="s">
        <v>242</v>
      </c>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68"/>
      <c r="AN30" s="202"/>
      <c r="AO30" s="340"/>
      <c r="AP30" s="340"/>
      <c r="AQ30" s="340"/>
      <c r="AR30" s="340"/>
      <c r="AS30" s="340"/>
      <c r="AT30" s="340"/>
      <c r="AU30" s="340"/>
      <c r="AV30" s="340"/>
      <c r="AW30" s="340"/>
      <c r="AX30" s="340"/>
      <c r="AY30" s="340"/>
      <c r="AZ30" s="340"/>
      <c r="BA30" s="340"/>
      <c r="BB30" s="340"/>
      <c r="BC30" s="340"/>
      <c r="BD30" s="340"/>
      <c r="BE30" s="340"/>
      <c r="BF30" s="340"/>
      <c r="BG30" s="340"/>
      <c r="BH30" s="340"/>
      <c r="BI30" s="340"/>
    </row>
    <row r="31" spans="1:61" hidden="1" x14ac:dyDescent="0.2">
      <c r="A31" s="268"/>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68"/>
      <c r="AN31" s="202"/>
      <c r="AO31" s="340"/>
      <c r="AP31" s="340"/>
      <c r="AQ31" s="340"/>
      <c r="AR31" s="340"/>
      <c r="AS31" s="340"/>
      <c r="AT31" s="340"/>
      <c r="AU31" s="340"/>
      <c r="AV31" s="340"/>
      <c r="AW31" s="340"/>
      <c r="AX31" s="340"/>
      <c r="AY31" s="340"/>
      <c r="AZ31" s="340"/>
      <c r="BA31" s="340"/>
      <c r="BB31" s="340"/>
      <c r="BC31" s="340"/>
      <c r="BD31" s="340"/>
      <c r="BE31" s="340"/>
      <c r="BF31" s="340"/>
      <c r="BG31" s="340"/>
      <c r="BH31" s="340"/>
      <c r="BI31" s="340"/>
    </row>
    <row r="32" spans="1:61" s="340" customFormat="1" x14ac:dyDescent="0.2">
      <c r="A32" s="268"/>
      <c r="B32" s="200" t="s">
        <v>6</v>
      </c>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68"/>
      <c r="AN32" s="202"/>
    </row>
    <row r="33" spans="1:61" s="100" customFormat="1" ht="15.75" x14ac:dyDescent="0.2">
      <c r="A33" s="376"/>
      <c r="B33" s="205" t="s">
        <v>243</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268"/>
      <c r="AN33" s="202"/>
      <c r="AO33" s="362"/>
      <c r="AP33" s="362"/>
      <c r="AQ33" s="362"/>
      <c r="AR33" s="362"/>
      <c r="AS33" s="362"/>
      <c r="AT33" s="362"/>
      <c r="AU33" s="362"/>
      <c r="AV33" s="362"/>
      <c r="AW33" s="362"/>
      <c r="AX33" s="362"/>
      <c r="AY33" s="362"/>
      <c r="AZ33" s="362"/>
      <c r="BA33" s="362"/>
      <c r="BB33" s="362"/>
      <c r="BC33" s="362"/>
      <c r="BD33" s="362"/>
      <c r="BE33" s="362"/>
      <c r="BF33" s="362"/>
      <c r="BG33" s="362"/>
      <c r="BH33" s="362"/>
      <c r="BI33" s="362"/>
    </row>
    <row r="34" spans="1:61" s="100" customFormat="1" ht="15.75" x14ac:dyDescent="0.2">
      <c r="A34" s="376"/>
      <c r="B34" s="111" t="s">
        <v>114</v>
      </c>
      <c r="C34" s="276" t="s">
        <v>244</v>
      </c>
      <c r="D34" s="274"/>
      <c r="E34" s="274"/>
      <c r="F34" s="274"/>
      <c r="G34" s="274"/>
      <c r="H34" s="274"/>
      <c r="I34" s="274"/>
      <c r="J34" s="274"/>
      <c r="K34" s="432"/>
      <c r="L34" s="274"/>
      <c r="M34" s="274"/>
      <c r="N34" s="275"/>
      <c r="O34" s="298"/>
      <c r="P34" s="277"/>
      <c r="Q34" s="277" t="s">
        <v>245</v>
      </c>
      <c r="R34" s="277"/>
      <c r="S34" s="277"/>
      <c r="T34" s="277"/>
      <c r="U34" s="277"/>
      <c r="V34" s="277"/>
      <c r="W34" s="277"/>
      <c r="X34" s="277"/>
      <c r="Y34" s="277"/>
      <c r="Z34" s="278"/>
      <c r="AA34" s="309" t="s">
        <v>246</v>
      </c>
      <c r="AB34" s="296"/>
      <c r="AC34" s="428"/>
      <c r="AD34" s="296"/>
      <c r="AE34" s="296"/>
      <c r="AF34" s="428"/>
      <c r="AG34" s="296"/>
      <c r="AH34" s="296"/>
      <c r="AI34" s="296"/>
      <c r="AJ34" s="428"/>
      <c r="AK34" s="296"/>
      <c r="AL34" s="297"/>
      <c r="AM34" s="268"/>
      <c r="AN34" s="202"/>
      <c r="AO34" s="202"/>
      <c r="AP34" s="202"/>
      <c r="AQ34" s="202"/>
      <c r="AR34" s="202"/>
      <c r="AS34" s="202"/>
      <c r="AT34" s="202"/>
      <c r="AU34" s="202"/>
      <c r="AV34" s="202"/>
      <c r="AW34" s="202"/>
      <c r="AX34" s="202"/>
      <c r="AY34" s="202"/>
      <c r="AZ34" s="202"/>
      <c r="BA34" s="202"/>
      <c r="BB34" s="202"/>
      <c r="BC34" s="202"/>
      <c r="BD34" s="202"/>
      <c r="BE34" s="202"/>
      <c r="BF34" s="202"/>
      <c r="BG34" s="202"/>
      <c r="BH34" s="362"/>
      <c r="BI34" s="362"/>
    </row>
    <row r="35" spans="1:61" s="100" customFormat="1" ht="16.5" thickBot="1" x14ac:dyDescent="0.25">
      <c r="A35" s="376"/>
      <c r="B35" s="111" t="s">
        <v>247</v>
      </c>
      <c r="C35" s="293" t="s">
        <v>213</v>
      </c>
      <c r="D35" s="294"/>
      <c r="E35" s="294" t="s">
        <v>248</v>
      </c>
      <c r="F35" s="294"/>
      <c r="G35" s="294" t="s">
        <v>249</v>
      </c>
      <c r="H35" s="294"/>
      <c r="I35" s="294" t="s">
        <v>250</v>
      </c>
      <c r="J35" s="294"/>
      <c r="K35" s="294" t="s">
        <v>251</v>
      </c>
      <c r="L35" s="294"/>
      <c r="M35" s="294" t="s">
        <v>252</v>
      </c>
      <c r="N35" s="295"/>
      <c r="O35" s="299" t="s">
        <v>213</v>
      </c>
      <c r="P35" s="300"/>
      <c r="Q35" s="300"/>
      <c r="R35" s="300" t="s">
        <v>248</v>
      </c>
      <c r="S35" s="300"/>
      <c r="T35" s="300"/>
      <c r="U35" s="300" t="s">
        <v>249</v>
      </c>
      <c r="V35" s="300"/>
      <c r="W35" s="300"/>
      <c r="X35" s="300" t="s">
        <v>250</v>
      </c>
      <c r="Y35" s="300"/>
      <c r="Z35" s="301"/>
      <c r="AA35" s="310" t="s">
        <v>213</v>
      </c>
      <c r="AB35" s="311"/>
      <c r="AC35" s="311"/>
      <c r="AD35" s="311"/>
      <c r="AE35" s="311" t="s">
        <v>248</v>
      </c>
      <c r="AF35" s="311"/>
      <c r="AG35" s="311"/>
      <c r="AH35" s="311"/>
      <c r="AI35" s="311" t="s">
        <v>249</v>
      </c>
      <c r="AJ35" s="311"/>
      <c r="AK35" s="311"/>
      <c r="AL35" s="312"/>
      <c r="AM35" s="268"/>
      <c r="AN35" s="202"/>
      <c r="AO35" s="202"/>
      <c r="AP35" s="202"/>
      <c r="AQ35" s="202"/>
      <c r="AR35" s="202"/>
      <c r="AS35" s="202"/>
      <c r="AT35" s="202"/>
      <c r="AU35" s="202"/>
      <c r="AV35" s="202"/>
      <c r="AW35" s="202"/>
      <c r="AX35" s="202"/>
      <c r="AY35" s="202"/>
      <c r="AZ35" s="202"/>
      <c r="BA35" s="202"/>
      <c r="BB35" s="202"/>
      <c r="BC35" s="202"/>
      <c r="BD35" s="202"/>
      <c r="BE35" s="202"/>
      <c r="BF35" s="202"/>
      <c r="BG35" s="202"/>
      <c r="BH35" s="362"/>
      <c r="BI35" s="362"/>
    </row>
    <row r="36" spans="1:61" s="100" customFormat="1" ht="15.75" x14ac:dyDescent="0.2">
      <c r="A36" s="376"/>
      <c r="B36" s="111" t="s">
        <v>116</v>
      </c>
      <c r="C36" s="288">
        <v>1</v>
      </c>
      <c r="D36" s="289">
        <v>2</v>
      </c>
      <c r="E36" s="288">
        <v>3</v>
      </c>
      <c r="F36" s="289">
        <v>4</v>
      </c>
      <c r="G36" s="290">
        <v>5</v>
      </c>
      <c r="H36" s="291">
        <v>6</v>
      </c>
      <c r="I36" s="290">
        <v>7</v>
      </c>
      <c r="J36" s="291">
        <v>8</v>
      </c>
      <c r="K36" s="290">
        <v>9</v>
      </c>
      <c r="L36" s="291">
        <v>10</v>
      </c>
      <c r="M36" s="290">
        <v>11</v>
      </c>
      <c r="N36" s="292">
        <v>12</v>
      </c>
      <c r="O36" s="288">
        <v>1</v>
      </c>
      <c r="P36" s="302">
        <v>2</v>
      </c>
      <c r="Q36" s="289">
        <v>3</v>
      </c>
      <c r="R36" s="304">
        <v>4</v>
      </c>
      <c r="S36" s="305">
        <v>5</v>
      </c>
      <c r="T36" s="306">
        <v>6</v>
      </c>
      <c r="U36" s="307">
        <v>7</v>
      </c>
      <c r="V36" s="305">
        <v>8</v>
      </c>
      <c r="W36" s="306">
        <v>9</v>
      </c>
      <c r="X36" s="307">
        <v>10</v>
      </c>
      <c r="Y36" s="305">
        <v>11</v>
      </c>
      <c r="Z36" s="308">
        <v>12</v>
      </c>
      <c r="AA36" s="304">
        <v>1</v>
      </c>
      <c r="AB36" s="313">
        <v>2</v>
      </c>
      <c r="AC36" s="313">
        <v>3</v>
      </c>
      <c r="AD36" s="314">
        <v>4</v>
      </c>
      <c r="AE36" s="307">
        <v>5</v>
      </c>
      <c r="AF36" s="305">
        <v>6</v>
      </c>
      <c r="AG36" s="305">
        <v>7</v>
      </c>
      <c r="AH36" s="306">
        <v>8</v>
      </c>
      <c r="AI36" s="307">
        <v>9</v>
      </c>
      <c r="AJ36" s="305">
        <v>10</v>
      </c>
      <c r="AK36" s="305">
        <v>11</v>
      </c>
      <c r="AL36" s="308">
        <v>12</v>
      </c>
      <c r="AM36" s="268"/>
      <c r="AN36" s="202"/>
      <c r="AO36" s="202"/>
      <c r="AP36" s="202"/>
      <c r="AQ36" s="202"/>
      <c r="AR36" s="202"/>
      <c r="AS36" s="202"/>
      <c r="AT36" s="202"/>
      <c r="AU36" s="202"/>
      <c r="AV36" s="202"/>
      <c r="AW36" s="202"/>
      <c r="AX36" s="202"/>
      <c r="AY36" s="202"/>
      <c r="AZ36" s="202"/>
      <c r="BA36" s="202"/>
      <c r="BB36" s="202"/>
      <c r="BC36" s="202"/>
      <c r="BD36" s="202"/>
      <c r="BE36" s="202"/>
      <c r="BF36" s="202"/>
      <c r="BG36" s="202"/>
      <c r="BH36" s="362"/>
      <c r="BI36" s="362"/>
    </row>
    <row r="37" spans="1:61" s="99" customFormat="1" ht="50.45" customHeight="1" x14ac:dyDescent="0.2">
      <c r="A37" s="268"/>
      <c r="B37" s="72" t="s">
        <v>253</v>
      </c>
      <c r="C37" s="429" t="str">
        <f>'Tableau de bord'!$C$33</f>
        <v>Pommes de terre</v>
      </c>
      <c r="D37" s="430" t="str">
        <f>'Tableau de bord'!$C$34</f>
        <v>Maïs</v>
      </c>
      <c r="E37" s="429" t="str">
        <f>'Tableau de bord'!$C$33</f>
        <v>Pommes de terre</v>
      </c>
      <c r="F37" s="430" t="str">
        <f>'Tableau de bord'!$C$34</f>
        <v>Maïs</v>
      </c>
      <c r="G37" s="429" t="str">
        <f>'Tableau de bord'!$C$33</f>
        <v>Pommes de terre</v>
      </c>
      <c r="H37" s="430" t="str">
        <f>'Tableau de bord'!$C$34</f>
        <v>Maïs</v>
      </c>
      <c r="I37" s="429" t="str">
        <f>'Tableau de bord'!$C$33</f>
        <v>Pommes de terre</v>
      </c>
      <c r="J37" s="430" t="str">
        <f>'Tableau de bord'!$C$34</f>
        <v>Maïs</v>
      </c>
      <c r="K37" s="429" t="str">
        <f>'Tableau de bord'!$C$33</f>
        <v>Pommes de terre</v>
      </c>
      <c r="L37" s="430" t="str">
        <f>'Tableau de bord'!$C$34</f>
        <v>Maïs</v>
      </c>
      <c r="M37" s="429" t="str">
        <f>'Tableau de bord'!$C$33</f>
        <v>Pommes de terre</v>
      </c>
      <c r="N37" s="430" t="str">
        <f>'Tableau de bord'!$C$34</f>
        <v>Maïs</v>
      </c>
      <c r="O37" s="429" t="str">
        <f>'Tableau de bord'!$D$33</f>
        <v>Pommes de terre</v>
      </c>
      <c r="P37" s="431" t="str">
        <f>'Tableau de bord'!$D$34</f>
        <v>Orge</v>
      </c>
      <c r="Q37" s="430" t="str">
        <f>'Tableau de bord'!$D$35</f>
        <v>Culture fourragère (An 1)</v>
      </c>
      <c r="R37" s="429" t="str">
        <f>'Tableau de bord'!$D$33</f>
        <v>Pommes de terre</v>
      </c>
      <c r="S37" s="431" t="str">
        <f>'Tableau de bord'!$D$34</f>
        <v>Orge</v>
      </c>
      <c r="T37" s="430" t="str">
        <f>'Tableau de bord'!$D$35</f>
        <v>Culture fourragère (An 1)</v>
      </c>
      <c r="U37" s="429" t="str">
        <f>'Tableau de bord'!$D$33</f>
        <v>Pommes de terre</v>
      </c>
      <c r="V37" s="431" t="str">
        <f>'Tableau de bord'!$D$34</f>
        <v>Orge</v>
      </c>
      <c r="W37" s="430" t="str">
        <f>'Tableau de bord'!$D$35</f>
        <v>Culture fourragère (An 1)</v>
      </c>
      <c r="X37" s="429" t="str">
        <f>'Tableau de bord'!$D$33</f>
        <v>Pommes de terre</v>
      </c>
      <c r="Y37" s="431" t="str">
        <f>'Tableau de bord'!$D$34</f>
        <v>Orge</v>
      </c>
      <c r="Z37" s="430" t="str">
        <f>'Tableau de bord'!$D$35</f>
        <v>Culture fourragère (An 1)</v>
      </c>
      <c r="AA37" s="429" t="str">
        <f>'Tableau de bord'!$E$33</f>
        <v>Pommes de terre</v>
      </c>
      <c r="AB37" s="431" t="str">
        <f>'Tableau de bord'!$E$34</f>
        <v>Maïs</v>
      </c>
      <c r="AC37" s="431" t="str">
        <f>'Tableau de bord'!$E$35</f>
        <v>Blé (hiver)</v>
      </c>
      <c r="AD37" s="430" t="str">
        <f>'Tableau de bord'!$E$36</f>
        <v>Culture fourragère (An 1)</v>
      </c>
      <c r="AE37" s="429" t="str">
        <f>'Tableau de bord'!$E$33</f>
        <v>Pommes de terre</v>
      </c>
      <c r="AF37" s="431" t="str">
        <f>'Tableau de bord'!$E$34</f>
        <v>Maïs</v>
      </c>
      <c r="AG37" s="431" t="str">
        <f>'Tableau de bord'!$E$35</f>
        <v>Blé (hiver)</v>
      </c>
      <c r="AH37" s="430" t="str">
        <f>'Tableau de bord'!$E$36</f>
        <v>Culture fourragère (An 1)</v>
      </c>
      <c r="AI37" s="429" t="str">
        <f>'Tableau de bord'!$E$33</f>
        <v>Pommes de terre</v>
      </c>
      <c r="AJ37" s="431" t="str">
        <f>'Tableau de bord'!$E$34</f>
        <v>Maïs</v>
      </c>
      <c r="AK37" s="431" t="str">
        <f>'Tableau de bord'!$E$35</f>
        <v>Blé (hiver)</v>
      </c>
      <c r="AL37" s="430" t="str">
        <f>'Tableau de bord'!$E$36</f>
        <v>Culture fourragère (An 1)</v>
      </c>
      <c r="AM37" s="268"/>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row>
    <row r="38" spans="1:61" s="100" customFormat="1" ht="15.75" x14ac:dyDescent="0.2">
      <c r="A38" s="376"/>
      <c r="B38" s="72" t="s">
        <v>254</v>
      </c>
      <c r="C38" s="279">
        <v>0</v>
      </c>
      <c r="D38" s="280">
        <v>0</v>
      </c>
      <c r="E38" s="279">
        <v>0</v>
      </c>
      <c r="F38" s="280">
        <v>0</v>
      </c>
      <c r="G38" s="279">
        <v>0</v>
      </c>
      <c r="H38" s="280">
        <v>0</v>
      </c>
      <c r="I38" s="279">
        <v>0</v>
      </c>
      <c r="J38" s="280">
        <v>0</v>
      </c>
      <c r="K38" s="279">
        <v>0</v>
      </c>
      <c r="L38" s="280">
        <v>0</v>
      </c>
      <c r="M38" s="279">
        <v>0</v>
      </c>
      <c r="N38" s="280">
        <v>0</v>
      </c>
      <c r="O38" s="279">
        <v>0</v>
      </c>
      <c r="P38" s="151">
        <v>0</v>
      </c>
      <c r="Q38" s="280">
        <v>0</v>
      </c>
      <c r="R38" s="279">
        <v>0</v>
      </c>
      <c r="S38" s="151">
        <v>0</v>
      </c>
      <c r="T38" s="280">
        <v>0</v>
      </c>
      <c r="U38" s="279">
        <v>0</v>
      </c>
      <c r="V38" s="151">
        <v>0</v>
      </c>
      <c r="W38" s="280">
        <v>0</v>
      </c>
      <c r="X38" s="279">
        <v>0</v>
      </c>
      <c r="Y38" s="151">
        <v>0</v>
      </c>
      <c r="Z38" s="280">
        <v>0</v>
      </c>
      <c r="AA38" s="279">
        <v>0</v>
      </c>
      <c r="AB38" s="151">
        <v>0</v>
      </c>
      <c r="AC38" s="151">
        <v>0</v>
      </c>
      <c r="AD38" s="280">
        <v>0</v>
      </c>
      <c r="AE38" s="279">
        <v>0</v>
      </c>
      <c r="AF38" s="151">
        <v>0</v>
      </c>
      <c r="AG38" s="151">
        <v>0</v>
      </c>
      <c r="AH38" s="280">
        <v>0</v>
      </c>
      <c r="AI38" s="279">
        <v>0</v>
      </c>
      <c r="AJ38" s="151">
        <v>0</v>
      </c>
      <c r="AK38" s="151">
        <v>0</v>
      </c>
      <c r="AL38" s="280">
        <v>0</v>
      </c>
      <c r="AM38" s="268"/>
      <c r="AN38" s="202"/>
      <c r="AO38" s="202"/>
      <c r="AP38" s="202"/>
      <c r="AQ38" s="202"/>
      <c r="AR38" s="202"/>
      <c r="AS38" s="202"/>
      <c r="AT38" s="202"/>
      <c r="AU38" s="202"/>
      <c r="AV38" s="202"/>
      <c r="AW38" s="202"/>
      <c r="AX38" s="202"/>
      <c r="AY38" s="202"/>
      <c r="AZ38" s="202"/>
      <c r="BA38" s="202"/>
      <c r="BB38" s="202"/>
      <c r="BC38" s="202"/>
      <c r="BD38" s="202"/>
      <c r="BE38" s="202"/>
      <c r="BF38" s="202"/>
      <c r="BG38" s="202"/>
      <c r="BH38" s="362"/>
      <c r="BI38" s="362"/>
    </row>
    <row r="39" spans="1:61" s="100" customFormat="1" ht="15.75" x14ac:dyDescent="0.2">
      <c r="A39" s="376"/>
      <c r="B39" s="72"/>
      <c r="C39" s="281"/>
      <c r="D39" s="282"/>
      <c r="E39" s="281"/>
      <c r="F39" s="282"/>
      <c r="G39" s="281"/>
      <c r="H39" s="282"/>
      <c r="I39" s="281"/>
      <c r="J39" s="282"/>
      <c r="K39" s="281"/>
      <c r="L39" s="282"/>
      <c r="M39" s="281"/>
      <c r="N39" s="282"/>
      <c r="O39" s="281"/>
      <c r="P39" s="166"/>
      <c r="Q39" s="282"/>
      <c r="R39" s="281"/>
      <c r="S39" s="166"/>
      <c r="T39" s="282"/>
      <c r="U39" s="281"/>
      <c r="V39" s="166"/>
      <c r="W39" s="282"/>
      <c r="X39" s="281"/>
      <c r="Y39" s="166"/>
      <c r="Z39" s="282"/>
      <c r="AA39" s="281"/>
      <c r="AB39" s="166"/>
      <c r="AC39" s="166"/>
      <c r="AD39" s="282"/>
      <c r="AE39" s="281"/>
      <c r="AF39" s="166"/>
      <c r="AG39" s="166"/>
      <c r="AH39" s="282"/>
      <c r="AI39" s="281"/>
      <c r="AJ39" s="166"/>
      <c r="AK39" s="166"/>
      <c r="AL39" s="282"/>
      <c r="AM39" s="268"/>
      <c r="AN39" s="202"/>
      <c r="AO39" s="202"/>
      <c r="AP39" s="202"/>
      <c r="AQ39" s="202"/>
      <c r="AR39" s="202"/>
      <c r="AS39" s="202"/>
      <c r="AT39" s="202"/>
      <c r="AU39" s="202"/>
      <c r="AV39" s="202"/>
      <c r="AW39" s="202"/>
      <c r="AX39" s="202"/>
      <c r="AY39" s="202"/>
      <c r="AZ39" s="202"/>
      <c r="BA39" s="202"/>
      <c r="BB39" s="202"/>
      <c r="BC39" s="202"/>
      <c r="BD39" s="202"/>
      <c r="BE39" s="202"/>
      <c r="BF39" s="202"/>
      <c r="BG39" s="202"/>
      <c r="BH39" s="362"/>
      <c r="BI39" s="362"/>
    </row>
    <row r="40" spans="1:61" s="32" customFormat="1" hidden="1" x14ac:dyDescent="0.2">
      <c r="A40" s="75"/>
      <c r="B40" s="76" t="s">
        <v>255</v>
      </c>
      <c r="C40" s="283">
        <f>IF(ISBLANK(Comparaison!C39),Comparaison!C38,Comparaison!C39)</f>
        <v>0</v>
      </c>
      <c r="D40" s="284">
        <f>IF(ISBLANK(Comparaison!D39),Comparaison!D38,Comparaison!D39)</f>
        <v>0</v>
      </c>
      <c r="E40" s="283">
        <f>IF(ISBLANK(Comparaison!E39),Comparaison!E38,Comparaison!E39)</f>
        <v>0</v>
      </c>
      <c r="F40" s="284">
        <f>IF(ISBLANK(Comparaison!F39),Comparaison!F38,Comparaison!F39)</f>
        <v>0</v>
      </c>
      <c r="G40" s="283">
        <f>IF(ISBLANK(Comparaison!G39),Comparaison!G38,Comparaison!G39)</f>
        <v>0</v>
      </c>
      <c r="H40" s="284">
        <f>IF(ISBLANK(Comparaison!H39),Comparaison!H38,Comparaison!H39)</f>
        <v>0</v>
      </c>
      <c r="I40" s="283">
        <f>IF(ISBLANK(Comparaison!I39),Comparaison!I38,Comparaison!I39)</f>
        <v>0</v>
      </c>
      <c r="J40" s="284">
        <f>IF(ISBLANK(Comparaison!J39),Comparaison!J38,Comparaison!J39)</f>
        <v>0</v>
      </c>
      <c r="K40" s="283">
        <f>IF(ISBLANK(Comparaison!K39),Comparaison!K38,Comparaison!K39)</f>
        <v>0</v>
      </c>
      <c r="L40" s="284">
        <f>IF(ISBLANK(Comparaison!L39),Comparaison!L38,Comparaison!L39)</f>
        <v>0</v>
      </c>
      <c r="M40" s="283">
        <f>IF(ISBLANK(Comparaison!M39),Comparaison!M38,Comparaison!M39)</f>
        <v>0</v>
      </c>
      <c r="N40" s="284">
        <f>IF(ISBLANK(Comparaison!N39),Comparaison!N38,Comparaison!N39)</f>
        <v>0</v>
      </c>
      <c r="O40" s="283">
        <f>IF(ISBLANK(Comparaison!O39),Comparaison!O38,Comparaison!O39)</f>
        <v>0</v>
      </c>
      <c r="P40" s="172">
        <f>IF(ISBLANK(Comparaison!P39),Comparaison!P38,Comparaison!P39)</f>
        <v>0</v>
      </c>
      <c r="Q40" s="284">
        <f>IF(ISBLANK(Comparaison!Q39),Comparaison!Q38,Comparaison!Q39)</f>
        <v>0</v>
      </c>
      <c r="R40" s="283">
        <f>IF(ISBLANK(Comparaison!R39),Comparaison!R38,Comparaison!R39)</f>
        <v>0</v>
      </c>
      <c r="S40" s="172">
        <f>IF(ISBLANK(Comparaison!S39),Comparaison!S38,Comparaison!S39)</f>
        <v>0</v>
      </c>
      <c r="T40" s="284">
        <f>IF(ISBLANK(Comparaison!T39),Comparaison!T38,Comparaison!T39)</f>
        <v>0</v>
      </c>
      <c r="U40" s="283">
        <f>IF(ISBLANK(Comparaison!U39),Comparaison!U38,Comparaison!U39)</f>
        <v>0</v>
      </c>
      <c r="V40" s="172">
        <f>IF(ISBLANK(Comparaison!V39),Comparaison!V38,Comparaison!V39)</f>
        <v>0</v>
      </c>
      <c r="W40" s="284">
        <f>IF(ISBLANK(Comparaison!W39),Comparaison!W38,Comparaison!W39)</f>
        <v>0</v>
      </c>
      <c r="X40" s="283">
        <f>IF(ISBLANK(Comparaison!X39),Comparaison!X38,Comparaison!X39)</f>
        <v>0</v>
      </c>
      <c r="Y40" s="172">
        <f>IF(ISBLANK(Comparaison!Y39),Comparaison!Y38,Comparaison!Y39)</f>
        <v>0</v>
      </c>
      <c r="Z40" s="284">
        <f>IF(ISBLANK(Comparaison!Z39),Comparaison!Z38,Comparaison!Z39)</f>
        <v>0</v>
      </c>
      <c r="AA40" s="283">
        <f>IF(ISBLANK(Comparaison!AA39),Comparaison!AA38,Comparaison!AA39)</f>
        <v>0</v>
      </c>
      <c r="AB40" s="172">
        <f>IF(ISBLANK(Comparaison!AB39),Comparaison!AB38,Comparaison!AB39)</f>
        <v>0</v>
      </c>
      <c r="AC40" s="172">
        <f>IF(ISBLANK(Comparaison!AC39),Comparaison!AC38,Comparaison!AC39)</f>
        <v>0</v>
      </c>
      <c r="AD40" s="284">
        <f>IF(ISBLANK(Comparaison!AD39),Comparaison!AD38,Comparaison!AD39)</f>
        <v>0</v>
      </c>
      <c r="AE40" s="283">
        <f>IF(ISBLANK(Comparaison!AE39),Comparaison!AE38,Comparaison!AE39)</f>
        <v>0</v>
      </c>
      <c r="AF40" s="172">
        <f>IF(ISBLANK(Comparaison!AF39),Comparaison!AF38,Comparaison!AF39)</f>
        <v>0</v>
      </c>
      <c r="AG40" s="172">
        <f>IF(ISBLANK(Comparaison!AG39),Comparaison!AG38,Comparaison!AG39)</f>
        <v>0</v>
      </c>
      <c r="AH40" s="284">
        <f>IF(ISBLANK(Comparaison!AH39),Comparaison!AH38,Comparaison!AH39)</f>
        <v>0</v>
      </c>
      <c r="AI40" s="283">
        <f>IF(ISBLANK(Comparaison!AI39),Comparaison!AI38,Comparaison!AI39)</f>
        <v>0</v>
      </c>
      <c r="AJ40" s="172">
        <f>IF(ISBLANK(Comparaison!AJ39),Comparaison!AJ38,Comparaison!AJ39)</f>
        <v>0</v>
      </c>
      <c r="AK40" s="172">
        <f>IF(ISBLANK(Comparaison!AK39),Comparaison!AK38,Comparaison!AK39)</f>
        <v>0</v>
      </c>
      <c r="AL40" s="284">
        <f>IF(ISBLANK(Comparaison!AL39),Comparaison!AL38,Comparaison!AL39)</f>
        <v>0</v>
      </c>
      <c r="AM40" s="89"/>
    </row>
    <row r="41" spans="1:61" s="100" customFormat="1" ht="15.75" x14ac:dyDescent="0.2">
      <c r="A41" s="376"/>
      <c r="B41" s="72" t="s">
        <v>256</v>
      </c>
      <c r="C41" s="279">
        <v>0</v>
      </c>
      <c r="D41" s="280">
        <v>0</v>
      </c>
      <c r="E41" s="279">
        <v>0</v>
      </c>
      <c r="F41" s="280">
        <v>0</v>
      </c>
      <c r="G41" s="279">
        <v>0</v>
      </c>
      <c r="H41" s="280">
        <v>0</v>
      </c>
      <c r="I41" s="279">
        <v>0</v>
      </c>
      <c r="J41" s="280">
        <v>0</v>
      </c>
      <c r="K41" s="279">
        <v>0</v>
      </c>
      <c r="L41" s="280">
        <v>0</v>
      </c>
      <c r="M41" s="279">
        <v>0</v>
      </c>
      <c r="N41" s="280">
        <v>0</v>
      </c>
      <c r="O41" s="279">
        <v>0</v>
      </c>
      <c r="P41" s="151">
        <v>0</v>
      </c>
      <c r="Q41" s="280">
        <v>0</v>
      </c>
      <c r="R41" s="279">
        <v>0</v>
      </c>
      <c r="S41" s="151">
        <v>0</v>
      </c>
      <c r="T41" s="280">
        <v>0</v>
      </c>
      <c r="U41" s="279">
        <v>0</v>
      </c>
      <c r="V41" s="151">
        <v>0</v>
      </c>
      <c r="W41" s="280">
        <v>0</v>
      </c>
      <c r="X41" s="279">
        <v>0</v>
      </c>
      <c r="Y41" s="151">
        <v>0</v>
      </c>
      <c r="Z41" s="280">
        <v>0</v>
      </c>
      <c r="AA41" s="279">
        <v>0</v>
      </c>
      <c r="AB41" s="151">
        <v>0</v>
      </c>
      <c r="AC41" s="151">
        <v>0</v>
      </c>
      <c r="AD41" s="280">
        <v>0</v>
      </c>
      <c r="AE41" s="279">
        <v>0</v>
      </c>
      <c r="AF41" s="151">
        <v>0</v>
      </c>
      <c r="AG41" s="151">
        <v>0</v>
      </c>
      <c r="AH41" s="280">
        <v>0</v>
      </c>
      <c r="AI41" s="279">
        <v>0</v>
      </c>
      <c r="AJ41" s="151">
        <v>0</v>
      </c>
      <c r="AK41" s="151">
        <v>0</v>
      </c>
      <c r="AL41" s="280">
        <v>0</v>
      </c>
      <c r="AM41" s="268"/>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row>
    <row r="42" spans="1:61" s="100" customFormat="1" ht="15.75" x14ac:dyDescent="0.2">
      <c r="A42" s="376"/>
      <c r="B42" s="72"/>
      <c r="C42" s="281"/>
      <c r="D42" s="282"/>
      <c r="E42" s="281"/>
      <c r="F42" s="282"/>
      <c r="G42" s="281"/>
      <c r="H42" s="282"/>
      <c r="I42" s="281"/>
      <c r="J42" s="282"/>
      <c r="K42" s="281"/>
      <c r="L42" s="282"/>
      <c r="M42" s="281"/>
      <c r="N42" s="282"/>
      <c r="O42" s="281"/>
      <c r="P42" s="166"/>
      <c r="Q42" s="282"/>
      <c r="R42" s="281"/>
      <c r="S42" s="166"/>
      <c r="T42" s="282"/>
      <c r="U42" s="281"/>
      <c r="V42" s="166"/>
      <c r="W42" s="282"/>
      <c r="X42" s="281"/>
      <c r="Y42" s="166"/>
      <c r="Z42" s="282"/>
      <c r="AA42" s="281"/>
      <c r="AB42" s="166"/>
      <c r="AC42" s="166"/>
      <c r="AD42" s="282"/>
      <c r="AE42" s="281"/>
      <c r="AF42" s="166"/>
      <c r="AG42" s="166"/>
      <c r="AH42" s="282"/>
      <c r="AI42" s="281"/>
      <c r="AJ42" s="166"/>
      <c r="AK42" s="166"/>
      <c r="AL42" s="282"/>
      <c r="AM42" s="268"/>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row>
    <row r="43" spans="1:61" s="32" customFormat="1" hidden="1" x14ac:dyDescent="0.2">
      <c r="A43" s="75"/>
      <c r="B43" s="76" t="s">
        <v>257</v>
      </c>
      <c r="C43" s="283">
        <f>IF(ISBLANK(Comparaison!C42),Comparaison!C41,Comparaison!C42)</f>
        <v>0</v>
      </c>
      <c r="D43" s="284">
        <f>IF(ISBLANK(Comparaison!D42),Comparaison!D41,Comparaison!D42)</f>
        <v>0</v>
      </c>
      <c r="E43" s="283">
        <f>IF(ISBLANK(Comparaison!E42),Comparaison!E41,Comparaison!E42)</f>
        <v>0</v>
      </c>
      <c r="F43" s="284">
        <f>IF(ISBLANK(Comparaison!F42),Comparaison!F41,Comparaison!F42)</f>
        <v>0</v>
      </c>
      <c r="G43" s="283">
        <f>IF(ISBLANK(Comparaison!G42),Comparaison!G41,Comparaison!G42)</f>
        <v>0</v>
      </c>
      <c r="H43" s="284">
        <f>IF(ISBLANK(Comparaison!H42),Comparaison!H41,Comparaison!H42)</f>
        <v>0</v>
      </c>
      <c r="I43" s="283">
        <f>IF(ISBLANK(Comparaison!I42),Comparaison!I41,Comparaison!I42)</f>
        <v>0</v>
      </c>
      <c r="J43" s="284">
        <f>IF(ISBLANK(Comparaison!J42),Comparaison!J41,Comparaison!J42)</f>
        <v>0</v>
      </c>
      <c r="K43" s="283">
        <f>IF(ISBLANK(Comparaison!K42),Comparaison!K41,Comparaison!K42)</f>
        <v>0</v>
      </c>
      <c r="L43" s="284">
        <f>IF(ISBLANK(Comparaison!L42),Comparaison!L41,Comparaison!L42)</f>
        <v>0</v>
      </c>
      <c r="M43" s="283">
        <f>IF(ISBLANK(Comparaison!M42),Comparaison!M41,Comparaison!M42)</f>
        <v>0</v>
      </c>
      <c r="N43" s="284">
        <f>IF(ISBLANK(Comparaison!N42),Comparaison!N41,Comparaison!N42)</f>
        <v>0</v>
      </c>
      <c r="O43" s="283">
        <f>IF(ISBLANK(Comparaison!O42),Comparaison!O41,Comparaison!O42)</f>
        <v>0</v>
      </c>
      <c r="P43" s="172">
        <f>IF(ISBLANK(Comparaison!P42),Comparaison!P41,Comparaison!P42)</f>
        <v>0</v>
      </c>
      <c r="Q43" s="284">
        <f>IF(ISBLANK(Comparaison!Q42),Comparaison!Q41,Comparaison!Q42)</f>
        <v>0</v>
      </c>
      <c r="R43" s="283">
        <f>IF(ISBLANK(Comparaison!R42),Comparaison!R41,Comparaison!R42)</f>
        <v>0</v>
      </c>
      <c r="S43" s="172">
        <f>IF(ISBLANK(Comparaison!S42),Comparaison!S41,Comparaison!S42)</f>
        <v>0</v>
      </c>
      <c r="T43" s="284">
        <f>IF(ISBLANK(Comparaison!T42),Comparaison!T41,Comparaison!T42)</f>
        <v>0</v>
      </c>
      <c r="U43" s="283">
        <f>IF(ISBLANK(Comparaison!U42),Comparaison!U41,Comparaison!U42)</f>
        <v>0</v>
      </c>
      <c r="V43" s="172">
        <f>IF(ISBLANK(Comparaison!V42),Comparaison!V41,Comparaison!V42)</f>
        <v>0</v>
      </c>
      <c r="W43" s="284">
        <f>IF(ISBLANK(Comparaison!W42),Comparaison!W41,Comparaison!W42)</f>
        <v>0</v>
      </c>
      <c r="X43" s="283">
        <f>IF(ISBLANK(Comparaison!X42),Comparaison!X41,Comparaison!X42)</f>
        <v>0</v>
      </c>
      <c r="Y43" s="172">
        <f>IF(ISBLANK(Comparaison!Y42),Comparaison!Y41,Comparaison!Y42)</f>
        <v>0</v>
      </c>
      <c r="Z43" s="284">
        <f>IF(ISBLANK(Comparaison!Z42),Comparaison!Z41,Comparaison!Z42)</f>
        <v>0</v>
      </c>
      <c r="AA43" s="283">
        <f>IF(ISBLANK(Comparaison!AA42),Comparaison!AA41,Comparaison!AA42)</f>
        <v>0</v>
      </c>
      <c r="AB43" s="172">
        <f>IF(ISBLANK(Comparaison!AB42),Comparaison!AB41,Comparaison!AB42)</f>
        <v>0</v>
      </c>
      <c r="AC43" s="172">
        <f>IF(ISBLANK(Comparaison!AC42),Comparaison!AC41,Comparaison!AC42)</f>
        <v>0</v>
      </c>
      <c r="AD43" s="284">
        <f>IF(ISBLANK(Comparaison!AD42),Comparaison!AD41,Comparaison!AD42)</f>
        <v>0</v>
      </c>
      <c r="AE43" s="283">
        <f>IF(ISBLANK(Comparaison!AE42),Comparaison!AE41,Comparaison!AE42)</f>
        <v>0</v>
      </c>
      <c r="AF43" s="172">
        <f>IF(ISBLANK(Comparaison!AF42),Comparaison!AF41,Comparaison!AF42)</f>
        <v>0</v>
      </c>
      <c r="AG43" s="172">
        <f>IF(ISBLANK(Comparaison!AG42),Comparaison!AG41,Comparaison!AG42)</f>
        <v>0</v>
      </c>
      <c r="AH43" s="284">
        <f>IF(ISBLANK(Comparaison!AH42),Comparaison!AH41,Comparaison!AH42)</f>
        <v>0</v>
      </c>
      <c r="AI43" s="283">
        <f>IF(ISBLANK(Comparaison!AI42),Comparaison!AI41,Comparaison!AI42)</f>
        <v>0</v>
      </c>
      <c r="AJ43" s="172">
        <f>IF(ISBLANK(Comparaison!AJ42),Comparaison!AJ41,Comparaison!AJ42)</f>
        <v>0</v>
      </c>
      <c r="AK43" s="172">
        <f>IF(ISBLANK(Comparaison!AK42),Comparaison!AK41,Comparaison!AK42)</f>
        <v>0</v>
      </c>
      <c r="AL43" s="284">
        <f>IF(ISBLANK(Comparaison!AL42),Comparaison!AL41,Comparaison!AL42)</f>
        <v>0</v>
      </c>
      <c r="AM43" s="89"/>
    </row>
    <row r="44" spans="1:61" s="100" customFormat="1" ht="48" customHeight="1" x14ac:dyDescent="0.2">
      <c r="A44" s="376"/>
      <c r="B44" s="72" t="s">
        <v>258</v>
      </c>
      <c r="C44" s="279">
        <v>0</v>
      </c>
      <c r="D44" s="280">
        <v>0</v>
      </c>
      <c r="E44" s="279">
        <v>0</v>
      </c>
      <c r="F44" s="280">
        <v>0</v>
      </c>
      <c r="G44" s="279">
        <v>0</v>
      </c>
      <c r="H44" s="280">
        <v>0</v>
      </c>
      <c r="I44" s="279">
        <v>0</v>
      </c>
      <c r="J44" s="280">
        <v>0</v>
      </c>
      <c r="K44" s="279">
        <v>0</v>
      </c>
      <c r="L44" s="280">
        <v>0</v>
      </c>
      <c r="M44" s="279">
        <v>0</v>
      </c>
      <c r="N44" s="280">
        <v>0</v>
      </c>
      <c r="O44" s="279">
        <v>0</v>
      </c>
      <c r="P44" s="151">
        <v>0</v>
      </c>
      <c r="Q44" s="280">
        <v>0</v>
      </c>
      <c r="R44" s="279">
        <v>0</v>
      </c>
      <c r="S44" s="151">
        <v>0</v>
      </c>
      <c r="T44" s="280">
        <v>0</v>
      </c>
      <c r="U44" s="279">
        <v>0</v>
      </c>
      <c r="V44" s="151">
        <v>0</v>
      </c>
      <c r="W44" s="280">
        <v>0</v>
      </c>
      <c r="X44" s="279">
        <v>0</v>
      </c>
      <c r="Y44" s="151">
        <v>0</v>
      </c>
      <c r="Z44" s="280">
        <v>0</v>
      </c>
      <c r="AA44" s="279">
        <v>0</v>
      </c>
      <c r="AB44" s="151">
        <v>0</v>
      </c>
      <c r="AC44" s="151">
        <v>0</v>
      </c>
      <c r="AD44" s="280">
        <v>0</v>
      </c>
      <c r="AE44" s="279">
        <v>0</v>
      </c>
      <c r="AF44" s="151">
        <v>0</v>
      </c>
      <c r="AG44" s="151">
        <v>0</v>
      </c>
      <c r="AH44" s="280">
        <v>0</v>
      </c>
      <c r="AI44" s="279">
        <v>0</v>
      </c>
      <c r="AJ44" s="151">
        <v>0</v>
      </c>
      <c r="AK44" s="151">
        <v>0</v>
      </c>
      <c r="AL44" s="280">
        <v>0</v>
      </c>
      <c r="AM44" s="268"/>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row>
    <row r="45" spans="1:61" s="100" customFormat="1" ht="15.75" x14ac:dyDescent="0.2">
      <c r="A45" s="376"/>
      <c r="B45" s="72"/>
      <c r="C45" s="281"/>
      <c r="D45" s="282"/>
      <c r="E45" s="281"/>
      <c r="F45" s="282"/>
      <c r="G45" s="281"/>
      <c r="H45" s="282"/>
      <c r="I45" s="281"/>
      <c r="J45" s="282"/>
      <c r="K45" s="281"/>
      <c r="L45" s="282"/>
      <c r="M45" s="281"/>
      <c r="N45" s="282"/>
      <c r="O45" s="281"/>
      <c r="P45" s="166"/>
      <c r="Q45" s="282"/>
      <c r="R45" s="281"/>
      <c r="S45" s="166"/>
      <c r="T45" s="282"/>
      <c r="U45" s="281"/>
      <c r="V45" s="166"/>
      <c r="W45" s="282"/>
      <c r="X45" s="281"/>
      <c r="Y45" s="166"/>
      <c r="Z45" s="282"/>
      <c r="AA45" s="281"/>
      <c r="AB45" s="166"/>
      <c r="AC45" s="166"/>
      <c r="AD45" s="282"/>
      <c r="AE45" s="281"/>
      <c r="AF45" s="166"/>
      <c r="AG45" s="166"/>
      <c r="AH45" s="282"/>
      <c r="AI45" s="281"/>
      <c r="AJ45" s="166"/>
      <c r="AK45" s="166"/>
      <c r="AL45" s="282"/>
      <c r="AM45" s="268"/>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row>
    <row r="46" spans="1:61" s="32" customFormat="1" hidden="1" x14ac:dyDescent="0.2">
      <c r="A46" s="75"/>
      <c r="B46" s="76" t="s">
        <v>259</v>
      </c>
      <c r="C46" s="283">
        <f>IF(ISBLANK(Comparaison!C45),Comparaison!C44,Comparaison!C45)</f>
        <v>0</v>
      </c>
      <c r="D46" s="284">
        <f>IF(ISBLANK(Comparaison!D45),Comparaison!D44,Comparaison!D45)</f>
        <v>0</v>
      </c>
      <c r="E46" s="283">
        <f>IF(ISBLANK(Comparaison!E45),Comparaison!E44,Comparaison!E45)</f>
        <v>0</v>
      </c>
      <c r="F46" s="284">
        <f>IF(ISBLANK(Comparaison!F45),Comparaison!F44,Comparaison!F45)</f>
        <v>0</v>
      </c>
      <c r="G46" s="283">
        <f>IF(ISBLANK(Comparaison!G45),Comparaison!G44,Comparaison!G45)</f>
        <v>0</v>
      </c>
      <c r="H46" s="284">
        <f>IF(ISBLANK(Comparaison!H45),Comparaison!H44,Comparaison!H45)</f>
        <v>0</v>
      </c>
      <c r="I46" s="283">
        <f>IF(ISBLANK(Comparaison!I45),Comparaison!I44,Comparaison!I45)</f>
        <v>0</v>
      </c>
      <c r="J46" s="284">
        <f>IF(ISBLANK(Comparaison!J45),Comparaison!J44,Comparaison!J45)</f>
        <v>0</v>
      </c>
      <c r="K46" s="283">
        <f>IF(ISBLANK(Comparaison!K45),Comparaison!K44,Comparaison!K45)</f>
        <v>0</v>
      </c>
      <c r="L46" s="284">
        <f>IF(ISBLANK(Comparaison!L45),Comparaison!L44,Comparaison!L45)</f>
        <v>0</v>
      </c>
      <c r="M46" s="283">
        <f>IF(ISBLANK(Comparaison!M45),Comparaison!M44,Comparaison!M45)</f>
        <v>0</v>
      </c>
      <c r="N46" s="284">
        <f>IF(ISBLANK(Comparaison!N45),Comparaison!N44,Comparaison!N45)</f>
        <v>0</v>
      </c>
      <c r="O46" s="283">
        <f>IF(ISBLANK(Comparaison!O45),Comparaison!O44,Comparaison!O45)</f>
        <v>0</v>
      </c>
      <c r="P46" s="172">
        <f>IF(ISBLANK(Comparaison!P45),Comparaison!P44,Comparaison!P45)</f>
        <v>0</v>
      </c>
      <c r="Q46" s="284">
        <f>IF(ISBLANK(Comparaison!Q45),Comparaison!Q44,Comparaison!Q45)</f>
        <v>0</v>
      </c>
      <c r="R46" s="283">
        <f>IF(ISBLANK(Comparaison!R45),Comparaison!R44,Comparaison!R45)</f>
        <v>0</v>
      </c>
      <c r="S46" s="172">
        <f>IF(ISBLANK(Comparaison!S45),Comparaison!S44,Comparaison!S45)</f>
        <v>0</v>
      </c>
      <c r="T46" s="284">
        <f>IF(ISBLANK(Comparaison!T45),Comparaison!T44,Comparaison!T45)</f>
        <v>0</v>
      </c>
      <c r="U46" s="283">
        <f>IF(ISBLANK(Comparaison!U45),Comparaison!U44,Comparaison!U45)</f>
        <v>0</v>
      </c>
      <c r="V46" s="172">
        <f>IF(ISBLANK(Comparaison!V45),Comparaison!V44,Comparaison!V45)</f>
        <v>0</v>
      </c>
      <c r="W46" s="284">
        <f>IF(ISBLANK(Comparaison!W45),Comparaison!W44,Comparaison!W45)</f>
        <v>0</v>
      </c>
      <c r="X46" s="283">
        <f>IF(ISBLANK(Comparaison!X45),Comparaison!X44,Comparaison!X45)</f>
        <v>0</v>
      </c>
      <c r="Y46" s="172">
        <f>IF(ISBLANK(Comparaison!Y45),Comparaison!Y44,Comparaison!Y45)</f>
        <v>0</v>
      </c>
      <c r="Z46" s="284">
        <f>IF(ISBLANK(Comparaison!Z45),Comparaison!Z44,Comparaison!Z45)</f>
        <v>0</v>
      </c>
      <c r="AA46" s="283">
        <f>IF(ISBLANK(Comparaison!AA45),Comparaison!AA44,Comparaison!AA45)</f>
        <v>0</v>
      </c>
      <c r="AB46" s="172">
        <f>IF(ISBLANK(Comparaison!AB45),Comparaison!AB44,Comparaison!AB45)</f>
        <v>0</v>
      </c>
      <c r="AC46" s="172">
        <f>IF(ISBLANK(Comparaison!AC45),Comparaison!AC44,Comparaison!AC45)</f>
        <v>0</v>
      </c>
      <c r="AD46" s="284">
        <f>IF(ISBLANK(Comparaison!AD45),Comparaison!AD44,Comparaison!AD45)</f>
        <v>0</v>
      </c>
      <c r="AE46" s="283">
        <f>IF(ISBLANK(Comparaison!AE45),Comparaison!AE44,Comparaison!AE45)</f>
        <v>0</v>
      </c>
      <c r="AF46" s="172">
        <f>IF(ISBLANK(Comparaison!AF45),Comparaison!AF44,Comparaison!AF45)</f>
        <v>0</v>
      </c>
      <c r="AG46" s="172">
        <f>IF(ISBLANK(Comparaison!AG45),Comparaison!AG44,Comparaison!AG45)</f>
        <v>0</v>
      </c>
      <c r="AH46" s="284">
        <f>IF(ISBLANK(Comparaison!AH45),Comparaison!AH44,Comparaison!AH45)</f>
        <v>0</v>
      </c>
      <c r="AI46" s="283">
        <f>IF(ISBLANK(Comparaison!AI45),Comparaison!AI44,Comparaison!AI45)</f>
        <v>0</v>
      </c>
      <c r="AJ46" s="172">
        <f>IF(ISBLANK(Comparaison!AJ45),Comparaison!AJ44,Comparaison!AJ45)</f>
        <v>0</v>
      </c>
      <c r="AK46" s="172">
        <f>IF(ISBLANK(Comparaison!AK45),Comparaison!AK44,Comparaison!AK45)</f>
        <v>0</v>
      </c>
      <c r="AL46" s="284">
        <f>IF(ISBLANK(Comparaison!AL45),Comparaison!AL44,Comparaison!AL45)</f>
        <v>0</v>
      </c>
      <c r="AM46" s="89"/>
    </row>
    <row r="47" spans="1:61" s="100" customFormat="1" ht="42" customHeight="1" x14ac:dyDescent="0.2">
      <c r="A47" s="376"/>
      <c r="B47" s="72" t="s">
        <v>260</v>
      </c>
      <c r="C47" s="285">
        <v>0</v>
      </c>
      <c r="D47" s="280">
        <v>0</v>
      </c>
      <c r="E47" s="279">
        <v>0</v>
      </c>
      <c r="F47" s="280">
        <v>0</v>
      </c>
      <c r="G47" s="279">
        <v>0</v>
      </c>
      <c r="H47" s="280">
        <v>0</v>
      </c>
      <c r="I47" s="279">
        <v>0</v>
      </c>
      <c r="J47" s="280">
        <v>0</v>
      </c>
      <c r="K47" s="279">
        <v>0</v>
      </c>
      <c r="L47" s="280">
        <v>0</v>
      </c>
      <c r="M47" s="279">
        <v>0</v>
      </c>
      <c r="N47" s="280">
        <v>0</v>
      </c>
      <c r="O47" s="279">
        <v>0</v>
      </c>
      <c r="P47" s="151">
        <v>0</v>
      </c>
      <c r="Q47" s="280">
        <v>0</v>
      </c>
      <c r="R47" s="279">
        <v>0</v>
      </c>
      <c r="S47" s="151">
        <v>0</v>
      </c>
      <c r="T47" s="280">
        <v>0</v>
      </c>
      <c r="U47" s="279">
        <v>0</v>
      </c>
      <c r="V47" s="151">
        <v>0</v>
      </c>
      <c r="W47" s="280">
        <v>0</v>
      </c>
      <c r="X47" s="279">
        <v>0</v>
      </c>
      <c r="Y47" s="151">
        <v>0</v>
      </c>
      <c r="Z47" s="280">
        <v>0</v>
      </c>
      <c r="AA47" s="279">
        <v>0</v>
      </c>
      <c r="AB47" s="151">
        <v>0</v>
      </c>
      <c r="AC47" s="151">
        <v>0</v>
      </c>
      <c r="AD47" s="280">
        <v>0</v>
      </c>
      <c r="AE47" s="279">
        <v>0</v>
      </c>
      <c r="AF47" s="151">
        <v>0</v>
      </c>
      <c r="AG47" s="151">
        <v>0</v>
      </c>
      <c r="AH47" s="280">
        <v>0</v>
      </c>
      <c r="AI47" s="279">
        <v>0</v>
      </c>
      <c r="AJ47" s="151">
        <v>0</v>
      </c>
      <c r="AK47" s="151">
        <v>0</v>
      </c>
      <c r="AL47" s="280">
        <v>0</v>
      </c>
      <c r="AM47" s="268"/>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row>
    <row r="48" spans="1:61" s="100" customFormat="1" ht="15.75" x14ac:dyDescent="0.2">
      <c r="A48" s="376"/>
      <c r="B48" s="72"/>
      <c r="C48" s="281"/>
      <c r="D48" s="282"/>
      <c r="E48" s="281"/>
      <c r="F48" s="282"/>
      <c r="G48" s="281"/>
      <c r="H48" s="282"/>
      <c r="I48" s="281"/>
      <c r="J48" s="282"/>
      <c r="K48" s="281"/>
      <c r="L48" s="282"/>
      <c r="M48" s="281"/>
      <c r="N48" s="282"/>
      <c r="O48" s="281"/>
      <c r="P48" s="166"/>
      <c r="Q48" s="282"/>
      <c r="R48" s="281"/>
      <c r="S48" s="166"/>
      <c r="T48" s="282"/>
      <c r="U48" s="281"/>
      <c r="V48" s="166"/>
      <c r="W48" s="282"/>
      <c r="X48" s="281"/>
      <c r="Y48" s="166"/>
      <c r="Z48" s="282"/>
      <c r="AA48" s="281"/>
      <c r="AB48" s="166"/>
      <c r="AC48" s="166"/>
      <c r="AD48" s="282"/>
      <c r="AE48" s="281"/>
      <c r="AF48" s="166"/>
      <c r="AG48" s="166"/>
      <c r="AH48" s="282"/>
      <c r="AI48" s="281"/>
      <c r="AJ48" s="166"/>
      <c r="AK48" s="166"/>
      <c r="AL48" s="282"/>
      <c r="AM48" s="268"/>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row>
    <row r="49" spans="1:61" s="32" customFormat="1" hidden="1" x14ac:dyDescent="0.2">
      <c r="A49" s="75"/>
      <c r="B49" s="76" t="s">
        <v>261</v>
      </c>
      <c r="C49" s="283">
        <f>IF(ISBLANK(Comparaison!C48),Comparaison!C47,Comparaison!C48)</f>
        <v>0</v>
      </c>
      <c r="D49" s="284">
        <f>IF(ISBLANK(Comparaison!D48),Comparaison!D47,Comparaison!D48)</f>
        <v>0</v>
      </c>
      <c r="E49" s="283">
        <f>IF(ISBLANK(Comparaison!E48),Comparaison!E47,Comparaison!E48)</f>
        <v>0</v>
      </c>
      <c r="F49" s="284">
        <f>IF(ISBLANK(Comparaison!F48),Comparaison!F47,Comparaison!F48)</f>
        <v>0</v>
      </c>
      <c r="G49" s="283">
        <f>IF(ISBLANK(Comparaison!G48),Comparaison!G47,Comparaison!G48)</f>
        <v>0</v>
      </c>
      <c r="H49" s="284">
        <f>IF(ISBLANK(Comparaison!H48),Comparaison!H47,Comparaison!H48)</f>
        <v>0</v>
      </c>
      <c r="I49" s="283">
        <f>IF(ISBLANK(Comparaison!I48),Comparaison!I47,Comparaison!I48)</f>
        <v>0</v>
      </c>
      <c r="J49" s="284">
        <f>IF(ISBLANK(Comparaison!J48),Comparaison!J47,Comparaison!J48)</f>
        <v>0</v>
      </c>
      <c r="K49" s="283">
        <f>IF(ISBLANK(Comparaison!K48),Comparaison!K47,Comparaison!K48)</f>
        <v>0</v>
      </c>
      <c r="L49" s="284">
        <f>IF(ISBLANK(Comparaison!L48),Comparaison!L47,Comparaison!L48)</f>
        <v>0</v>
      </c>
      <c r="M49" s="283">
        <f>IF(ISBLANK(Comparaison!M48),Comparaison!M47,Comparaison!M48)</f>
        <v>0</v>
      </c>
      <c r="N49" s="284">
        <f>IF(ISBLANK(Comparaison!N48),Comparaison!N47,Comparaison!N48)</f>
        <v>0</v>
      </c>
      <c r="O49" s="283">
        <f>IF(ISBLANK(Comparaison!O48),Comparaison!O47,Comparaison!O48)</f>
        <v>0</v>
      </c>
      <c r="P49" s="172">
        <f>IF(ISBLANK(Comparaison!P48),Comparaison!P47,Comparaison!P48)</f>
        <v>0</v>
      </c>
      <c r="Q49" s="284">
        <f>IF(ISBLANK(Comparaison!Q48),Comparaison!Q47,Comparaison!Q48)</f>
        <v>0</v>
      </c>
      <c r="R49" s="283">
        <f>IF(ISBLANK(Comparaison!R48),Comparaison!R47,Comparaison!R48)</f>
        <v>0</v>
      </c>
      <c r="S49" s="172">
        <f>IF(ISBLANK(Comparaison!S48),Comparaison!S47,Comparaison!S48)</f>
        <v>0</v>
      </c>
      <c r="T49" s="284">
        <f>IF(ISBLANK(Comparaison!T48),Comparaison!T47,Comparaison!T48)</f>
        <v>0</v>
      </c>
      <c r="U49" s="283">
        <f>IF(ISBLANK(Comparaison!U48),Comparaison!U47,Comparaison!U48)</f>
        <v>0</v>
      </c>
      <c r="V49" s="172">
        <f>IF(ISBLANK(Comparaison!V48),Comparaison!V47,Comparaison!V48)</f>
        <v>0</v>
      </c>
      <c r="W49" s="284">
        <f>IF(ISBLANK(Comparaison!W48),Comparaison!W47,Comparaison!W48)</f>
        <v>0</v>
      </c>
      <c r="X49" s="283">
        <f>IF(ISBLANK(Comparaison!X48),Comparaison!X47,Comparaison!X48)</f>
        <v>0</v>
      </c>
      <c r="Y49" s="172">
        <f>IF(ISBLANK(Comparaison!Y48),Comparaison!Y47,Comparaison!Y48)</f>
        <v>0</v>
      </c>
      <c r="Z49" s="284">
        <f>IF(ISBLANK(Comparaison!Z48),Comparaison!Z47,Comparaison!Z48)</f>
        <v>0</v>
      </c>
      <c r="AA49" s="283">
        <f>IF(ISBLANK(Comparaison!AA48),Comparaison!AA47,Comparaison!AA48)</f>
        <v>0</v>
      </c>
      <c r="AB49" s="172">
        <f>IF(ISBLANK(Comparaison!AB48),Comparaison!AB47,Comparaison!AB48)</f>
        <v>0</v>
      </c>
      <c r="AC49" s="172">
        <f>IF(ISBLANK(Comparaison!AC48),Comparaison!AC47,Comparaison!AC48)</f>
        <v>0</v>
      </c>
      <c r="AD49" s="284">
        <f>IF(ISBLANK(Comparaison!AD48),Comparaison!AD47,Comparaison!AD48)</f>
        <v>0</v>
      </c>
      <c r="AE49" s="283">
        <f>IF(ISBLANK(Comparaison!AE48),Comparaison!AE47,Comparaison!AE48)</f>
        <v>0</v>
      </c>
      <c r="AF49" s="172">
        <f>IF(ISBLANK(Comparaison!AF48),Comparaison!AF47,Comparaison!AF48)</f>
        <v>0</v>
      </c>
      <c r="AG49" s="172">
        <f>IF(ISBLANK(Comparaison!AG48),Comparaison!AG47,Comparaison!AG48)</f>
        <v>0</v>
      </c>
      <c r="AH49" s="284">
        <f>IF(ISBLANK(Comparaison!AH48),Comparaison!AH47,Comparaison!AH48)</f>
        <v>0</v>
      </c>
      <c r="AI49" s="283">
        <f>IF(ISBLANK(Comparaison!AI48),Comparaison!AI47,Comparaison!AI48)</f>
        <v>0</v>
      </c>
      <c r="AJ49" s="172">
        <f>IF(ISBLANK(Comparaison!AJ48),Comparaison!AJ47,Comparaison!AJ48)</f>
        <v>0</v>
      </c>
      <c r="AK49" s="172">
        <f>IF(ISBLANK(Comparaison!AK48),Comparaison!AK47,Comparaison!AK48)</f>
        <v>0</v>
      </c>
      <c r="AL49" s="284">
        <f>IF(ISBLANK(Comparaison!AL48),Comparaison!AL47,Comparaison!AL48)</f>
        <v>0</v>
      </c>
      <c r="AM49" s="89"/>
    </row>
    <row r="50" spans="1:61" s="100" customFormat="1" ht="15.75" x14ac:dyDescent="0.2">
      <c r="A50" s="376"/>
      <c r="B50" s="72" t="s">
        <v>260</v>
      </c>
      <c r="C50" s="279">
        <v>0</v>
      </c>
      <c r="D50" s="280">
        <v>0</v>
      </c>
      <c r="E50" s="279">
        <v>0</v>
      </c>
      <c r="F50" s="280">
        <v>0</v>
      </c>
      <c r="G50" s="279">
        <v>0</v>
      </c>
      <c r="H50" s="280">
        <v>0</v>
      </c>
      <c r="I50" s="279">
        <v>0</v>
      </c>
      <c r="J50" s="280">
        <v>0</v>
      </c>
      <c r="K50" s="279">
        <v>0</v>
      </c>
      <c r="L50" s="280">
        <v>0</v>
      </c>
      <c r="M50" s="279">
        <v>0</v>
      </c>
      <c r="N50" s="280">
        <v>0</v>
      </c>
      <c r="O50" s="279">
        <v>0</v>
      </c>
      <c r="P50" s="151">
        <v>0</v>
      </c>
      <c r="Q50" s="280">
        <v>0</v>
      </c>
      <c r="R50" s="279">
        <v>0</v>
      </c>
      <c r="S50" s="151">
        <v>0</v>
      </c>
      <c r="T50" s="280">
        <v>0</v>
      </c>
      <c r="U50" s="279">
        <v>0</v>
      </c>
      <c r="V50" s="151">
        <v>0</v>
      </c>
      <c r="W50" s="280">
        <v>0</v>
      </c>
      <c r="X50" s="279">
        <v>0</v>
      </c>
      <c r="Y50" s="151">
        <v>0</v>
      </c>
      <c r="Z50" s="280">
        <v>0</v>
      </c>
      <c r="AA50" s="279">
        <v>0</v>
      </c>
      <c r="AB50" s="151">
        <v>0</v>
      </c>
      <c r="AC50" s="151">
        <v>0</v>
      </c>
      <c r="AD50" s="280">
        <v>0</v>
      </c>
      <c r="AE50" s="279">
        <v>0</v>
      </c>
      <c r="AF50" s="151">
        <v>0</v>
      </c>
      <c r="AG50" s="151">
        <v>0</v>
      </c>
      <c r="AH50" s="280">
        <v>0</v>
      </c>
      <c r="AI50" s="279">
        <v>0</v>
      </c>
      <c r="AJ50" s="151">
        <v>0</v>
      </c>
      <c r="AK50" s="151">
        <v>0</v>
      </c>
      <c r="AL50" s="280">
        <v>0</v>
      </c>
      <c r="AM50" s="268"/>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row>
    <row r="51" spans="1:61" s="100" customFormat="1" ht="15.75" x14ac:dyDescent="0.2">
      <c r="A51" s="376"/>
      <c r="B51" s="72"/>
      <c r="C51" s="281"/>
      <c r="D51" s="282"/>
      <c r="E51" s="281"/>
      <c r="F51" s="282"/>
      <c r="G51" s="281"/>
      <c r="H51" s="282"/>
      <c r="I51" s="281"/>
      <c r="J51" s="282"/>
      <c r="K51" s="281"/>
      <c r="L51" s="282"/>
      <c r="M51" s="281"/>
      <c r="N51" s="282"/>
      <c r="O51" s="281"/>
      <c r="P51" s="166"/>
      <c r="Q51" s="282"/>
      <c r="R51" s="281"/>
      <c r="S51" s="166"/>
      <c r="T51" s="282"/>
      <c r="U51" s="281"/>
      <c r="V51" s="166"/>
      <c r="W51" s="282"/>
      <c r="X51" s="281"/>
      <c r="Y51" s="166"/>
      <c r="Z51" s="282"/>
      <c r="AA51" s="281"/>
      <c r="AB51" s="166"/>
      <c r="AC51" s="166"/>
      <c r="AD51" s="282"/>
      <c r="AE51" s="281"/>
      <c r="AF51" s="166"/>
      <c r="AG51" s="166"/>
      <c r="AH51" s="282"/>
      <c r="AI51" s="281"/>
      <c r="AJ51" s="166"/>
      <c r="AK51" s="166"/>
      <c r="AL51" s="282"/>
      <c r="AM51" s="268"/>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row>
    <row r="52" spans="1:61" s="32" customFormat="1" hidden="1" x14ac:dyDescent="0.2">
      <c r="A52" s="75"/>
      <c r="B52" s="76" t="s">
        <v>262</v>
      </c>
      <c r="C52" s="283">
        <f>IF(ISBLANK(Comparaison!C51),Comparaison!C50,Comparaison!C51)</f>
        <v>0</v>
      </c>
      <c r="D52" s="284">
        <f>IF(ISBLANK(Comparaison!D51),Comparaison!D50,Comparaison!D51)</f>
        <v>0</v>
      </c>
      <c r="E52" s="283">
        <f>IF(ISBLANK(Comparaison!E51),Comparaison!E50,Comparaison!E51)</f>
        <v>0</v>
      </c>
      <c r="F52" s="284">
        <f>IF(ISBLANK(Comparaison!F51),Comparaison!F50,Comparaison!F51)</f>
        <v>0</v>
      </c>
      <c r="G52" s="283">
        <f>IF(ISBLANK(Comparaison!G51),Comparaison!G50,Comparaison!G51)</f>
        <v>0</v>
      </c>
      <c r="H52" s="284">
        <f>IF(ISBLANK(Comparaison!H51),Comparaison!H50,Comparaison!H51)</f>
        <v>0</v>
      </c>
      <c r="I52" s="283">
        <f>IF(ISBLANK(Comparaison!I51),Comparaison!I50,Comparaison!I51)</f>
        <v>0</v>
      </c>
      <c r="J52" s="284">
        <f>IF(ISBLANK(Comparaison!J51),Comparaison!J50,Comparaison!J51)</f>
        <v>0</v>
      </c>
      <c r="K52" s="283">
        <f>IF(ISBLANK(Comparaison!K51),Comparaison!K50,Comparaison!K51)</f>
        <v>0</v>
      </c>
      <c r="L52" s="284">
        <f>IF(ISBLANK(Comparaison!L51),Comparaison!L50,Comparaison!L51)</f>
        <v>0</v>
      </c>
      <c r="M52" s="283">
        <f>IF(ISBLANK(Comparaison!M51),Comparaison!M50,Comparaison!M51)</f>
        <v>0</v>
      </c>
      <c r="N52" s="284">
        <f>IF(ISBLANK(Comparaison!N51),Comparaison!N50,Comparaison!N51)</f>
        <v>0</v>
      </c>
      <c r="O52" s="283">
        <f>IF(ISBLANK(Comparaison!O51),Comparaison!O50,Comparaison!O51)</f>
        <v>0</v>
      </c>
      <c r="P52" s="172">
        <f>IF(ISBLANK(Comparaison!P51),Comparaison!P50,Comparaison!P51)</f>
        <v>0</v>
      </c>
      <c r="Q52" s="284">
        <f>IF(ISBLANK(Comparaison!Q51),Comparaison!Q50,Comparaison!Q51)</f>
        <v>0</v>
      </c>
      <c r="R52" s="283">
        <f>IF(ISBLANK(Comparaison!R51),Comparaison!R50,Comparaison!R51)</f>
        <v>0</v>
      </c>
      <c r="S52" s="172">
        <f>IF(ISBLANK(Comparaison!S51),Comparaison!S50,Comparaison!S51)</f>
        <v>0</v>
      </c>
      <c r="T52" s="284">
        <f>IF(ISBLANK(Comparaison!T51),Comparaison!T50,Comparaison!T51)</f>
        <v>0</v>
      </c>
      <c r="U52" s="283">
        <f>IF(ISBLANK(Comparaison!U51),Comparaison!U50,Comparaison!U51)</f>
        <v>0</v>
      </c>
      <c r="V52" s="172">
        <f>IF(ISBLANK(Comparaison!V51),Comparaison!V50,Comparaison!V51)</f>
        <v>0</v>
      </c>
      <c r="W52" s="284">
        <f>IF(ISBLANK(Comparaison!W51),Comparaison!W50,Comparaison!W51)</f>
        <v>0</v>
      </c>
      <c r="X52" s="283">
        <f>IF(ISBLANK(Comparaison!X51),Comparaison!X50,Comparaison!X51)</f>
        <v>0</v>
      </c>
      <c r="Y52" s="172">
        <f>IF(ISBLANK(Comparaison!Y51),Comparaison!Y50,Comparaison!Y51)</f>
        <v>0</v>
      </c>
      <c r="Z52" s="284">
        <f>IF(ISBLANK(Comparaison!Z51),Comparaison!Z50,Comparaison!Z51)</f>
        <v>0</v>
      </c>
      <c r="AA52" s="283">
        <f>IF(ISBLANK(Comparaison!AA51),Comparaison!AA50,Comparaison!AA51)</f>
        <v>0</v>
      </c>
      <c r="AB52" s="172">
        <f>IF(ISBLANK(Comparaison!AB51),Comparaison!AB50,Comparaison!AB51)</f>
        <v>0</v>
      </c>
      <c r="AC52" s="172">
        <f>IF(ISBLANK(Comparaison!AC51),Comparaison!AC50,Comparaison!AC51)</f>
        <v>0</v>
      </c>
      <c r="AD52" s="284">
        <f>IF(ISBLANK(Comparaison!AD51),Comparaison!AD50,Comparaison!AD51)</f>
        <v>0</v>
      </c>
      <c r="AE52" s="283">
        <f>IF(ISBLANK(Comparaison!AE51),Comparaison!AE50,Comparaison!AE51)</f>
        <v>0</v>
      </c>
      <c r="AF52" s="172">
        <f>IF(ISBLANK(Comparaison!AF51),Comparaison!AF50,Comparaison!AF51)</f>
        <v>0</v>
      </c>
      <c r="AG52" s="172">
        <f>IF(ISBLANK(Comparaison!AG51),Comparaison!AG50,Comparaison!AG51)</f>
        <v>0</v>
      </c>
      <c r="AH52" s="284">
        <f>IF(ISBLANK(Comparaison!AH51),Comparaison!AH50,Comparaison!AH51)</f>
        <v>0</v>
      </c>
      <c r="AI52" s="283">
        <f>IF(ISBLANK(Comparaison!AI51),Comparaison!AI50,Comparaison!AI51)</f>
        <v>0</v>
      </c>
      <c r="AJ52" s="172">
        <f>IF(ISBLANK(Comparaison!AJ51),Comparaison!AJ50,Comparaison!AJ51)</f>
        <v>0</v>
      </c>
      <c r="AK52" s="172">
        <f>IF(ISBLANK(Comparaison!AK51),Comparaison!AK50,Comparaison!AK51)</f>
        <v>0</v>
      </c>
      <c r="AL52" s="284">
        <f>IF(ISBLANK(Comparaison!AL51),Comparaison!AL50,Comparaison!AL51)</f>
        <v>0</v>
      </c>
      <c r="AM52" s="268"/>
    </row>
    <row r="53" spans="1:61" s="347" customFormat="1" ht="31.5" x14ac:dyDescent="0.2">
      <c r="A53" s="376"/>
      <c r="B53" s="348" t="s">
        <v>263</v>
      </c>
      <c r="C53" s="285">
        <f>Yield!J11</f>
        <v>0</v>
      </c>
      <c r="D53" s="345">
        <f>Yield!K11</f>
        <v>0</v>
      </c>
      <c r="E53" s="285">
        <f>Yield!L11</f>
        <v>0</v>
      </c>
      <c r="F53" s="345">
        <f>Yield!M11</f>
        <v>0</v>
      </c>
      <c r="G53" s="285">
        <f>Yield!N11</f>
        <v>0</v>
      </c>
      <c r="H53" s="345">
        <f>Yield!O11</f>
        <v>0</v>
      </c>
      <c r="I53" s="285">
        <f>Yield!P11</f>
        <v>0</v>
      </c>
      <c r="J53" s="345">
        <f>Yield!Q11</f>
        <v>0</v>
      </c>
      <c r="K53" s="285">
        <f>Yield!R11</f>
        <v>0</v>
      </c>
      <c r="L53" s="345">
        <f>Yield!S11</f>
        <v>0</v>
      </c>
      <c r="M53" s="285">
        <f>Yield!T11</f>
        <v>0</v>
      </c>
      <c r="N53" s="345">
        <f>Yield!U11</f>
        <v>0</v>
      </c>
      <c r="O53" s="285">
        <f>Yield!V11</f>
        <v>0</v>
      </c>
      <c r="P53" s="346">
        <f>Yield!W11</f>
        <v>0</v>
      </c>
      <c r="Q53" s="345">
        <f>Yield!X11</f>
        <v>0</v>
      </c>
      <c r="R53" s="285">
        <f>Yield!Y11</f>
        <v>0</v>
      </c>
      <c r="S53" s="346">
        <f>Yield!Z11</f>
        <v>0</v>
      </c>
      <c r="T53" s="345">
        <f>Yield!AA11</f>
        <v>0</v>
      </c>
      <c r="U53" s="285">
        <f>Yield!AB11</f>
        <v>0</v>
      </c>
      <c r="V53" s="346">
        <f>Yield!AC11</f>
        <v>0</v>
      </c>
      <c r="W53" s="345">
        <f>Yield!AD11</f>
        <v>0</v>
      </c>
      <c r="X53" s="285">
        <f>Yield!AE11</f>
        <v>0</v>
      </c>
      <c r="Y53" s="346">
        <f>Yield!AF11</f>
        <v>0</v>
      </c>
      <c r="Z53" s="345">
        <f>Yield!AG11</f>
        <v>0</v>
      </c>
      <c r="AA53" s="285">
        <f>Yield!AH11</f>
        <v>0</v>
      </c>
      <c r="AB53" s="346">
        <f>Yield!AI11</f>
        <v>0</v>
      </c>
      <c r="AC53" s="346">
        <f>Yield!AJ11</f>
        <v>0</v>
      </c>
      <c r="AD53" s="345">
        <f>Yield!AK11</f>
        <v>0</v>
      </c>
      <c r="AE53" s="285">
        <f>Yield!AL11</f>
        <v>0</v>
      </c>
      <c r="AF53" s="346">
        <f>Yield!AM11</f>
        <v>0</v>
      </c>
      <c r="AG53" s="346">
        <f>Yield!AN11</f>
        <v>0</v>
      </c>
      <c r="AH53" s="345">
        <f>Yield!AO11</f>
        <v>0</v>
      </c>
      <c r="AI53" s="285">
        <f>Yield!AP11</f>
        <v>0</v>
      </c>
      <c r="AJ53" s="346">
        <f>Yield!AQ11</f>
        <v>0</v>
      </c>
      <c r="AK53" s="346">
        <f>Yield!AR11</f>
        <v>0</v>
      </c>
      <c r="AL53" s="345">
        <f>Yield!AS11</f>
        <v>0</v>
      </c>
      <c r="AM53" s="268"/>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row>
    <row r="54" spans="1:61" s="100" customFormat="1" ht="16.5" thickBot="1" x14ac:dyDescent="0.25">
      <c r="A54" s="376"/>
      <c r="B54" s="72"/>
      <c r="C54" s="286"/>
      <c r="D54" s="287"/>
      <c r="E54" s="286"/>
      <c r="F54" s="287"/>
      <c r="G54" s="286"/>
      <c r="H54" s="287"/>
      <c r="I54" s="286"/>
      <c r="J54" s="287"/>
      <c r="K54" s="286"/>
      <c r="L54" s="287"/>
      <c r="M54" s="286"/>
      <c r="N54" s="287"/>
      <c r="O54" s="286"/>
      <c r="P54" s="303"/>
      <c r="Q54" s="287"/>
      <c r="R54" s="286"/>
      <c r="S54" s="303"/>
      <c r="T54" s="287"/>
      <c r="U54" s="286"/>
      <c r="V54" s="303"/>
      <c r="W54" s="287"/>
      <c r="X54" s="286"/>
      <c r="Y54" s="303"/>
      <c r="Z54" s="287"/>
      <c r="AA54" s="286"/>
      <c r="AB54" s="303"/>
      <c r="AC54" s="303"/>
      <c r="AD54" s="287"/>
      <c r="AE54" s="286"/>
      <c r="AF54" s="303"/>
      <c r="AG54" s="303"/>
      <c r="AH54" s="287"/>
      <c r="AI54" s="286"/>
      <c r="AJ54" s="303"/>
      <c r="AK54" s="303"/>
      <c r="AL54" s="287"/>
      <c r="AM54" s="268"/>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row>
    <row r="55" spans="1:61" s="32" customFormat="1" hidden="1" x14ac:dyDescent="0.2">
      <c r="A55" s="75"/>
      <c r="B55" s="76" t="s">
        <v>264</v>
      </c>
      <c r="C55" s="159">
        <f>IF(ISBLANK(Comparaison!C54),Comparaison!C53,Comparaison!C54)</f>
        <v>0</v>
      </c>
      <c r="D55" s="149">
        <f>IF(ISBLANK(Comparaison!D54),Comparaison!D53,Comparaison!D54)</f>
        <v>0</v>
      </c>
      <c r="E55" s="149">
        <f>IF(ISBLANK(Comparaison!E54),Comparaison!E53,Comparaison!E54)</f>
        <v>0</v>
      </c>
      <c r="F55" s="149">
        <f>IF(ISBLANK(Comparaison!F54),Comparaison!F53,Comparaison!F54)</f>
        <v>0</v>
      </c>
      <c r="G55" s="149">
        <f>IF(ISBLANK(Comparaison!G54),Comparaison!G53,Comparaison!G54)</f>
        <v>0</v>
      </c>
      <c r="H55" s="149">
        <f>IF(ISBLANK(Comparaison!H54),Comparaison!H53,Comparaison!H54)</f>
        <v>0</v>
      </c>
      <c r="I55" s="149">
        <f>IF(ISBLANK(Comparaison!I54),Comparaison!I53,Comparaison!I54)</f>
        <v>0</v>
      </c>
      <c r="J55" s="149">
        <f>IF(ISBLANK(Comparaison!J54),Comparaison!J53,Comparaison!J54)</f>
        <v>0</v>
      </c>
      <c r="K55" s="149">
        <f>IF(ISBLANK(Comparaison!K54),Comparaison!K53,Comparaison!K54)</f>
        <v>0</v>
      </c>
      <c r="L55" s="149">
        <f>IF(ISBLANK(Comparaison!L54),Comparaison!L53,Comparaison!L54)</f>
        <v>0</v>
      </c>
      <c r="M55" s="149">
        <f>IF(ISBLANK(Comparaison!M54),Comparaison!M53,Comparaison!M54)</f>
        <v>0</v>
      </c>
      <c r="N55" s="149">
        <f>IF(ISBLANK(Comparaison!N54),Comparaison!N53,Comparaison!N54)</f>
        <v>0</v>
      </c>
      <c r="O55" s="149">
        <f>IF(ISBLANK(Comparaison!O54),Comparaison!O53,Comparaison!O54)</f>
        <v>0</v>
      </c>
      <c r="P55" s="149">
        <f>IF(ISBLANK(Comparaison!P54),Comparaison!P53,Comparaison!P54)</f>
        <v>0</v>
      </c>
      <c r="Q55" s="149">
        <f>IF(ISBLANK(Comparaison!Q54),Comparaison!Q53,Comparaison!Q54)</f>
        <v>0</v>
      </c>
      <c r="R55" s="149">
        <f>IF(ISBLANK(Comparaison!R54),Comparaison!R53,Comparaison!R54)</f>
        <v>0</v>
      </c>
      <c r="S55" s="149">
        <f>IF(ISBLANK(Comparaison!S54),Comparaison!S53,Comparaison!S54)</f>
        <v>0</v>
      </c>
      <c r="T55" s="149">
        <f>IF(ISBLANK(Comparaison!T54),Comparaison!T53,Comparaison!T54)</f>
        <v>0</v>
      </c>
      <c r="U55" s="149">
        <f>IF(ISBLANK(Comparaison!U54),Comparaison!U53,Comparaison!U54)</f>
        <v>0</v>
      </c>
      <c r="V55" s="149">
        <f>IF(ISBLANK(Comparaison!V54),Comparaison!V53,Comparaison!V54)</f>
        <v>0</v>
      </c>
      <c r="W55" s="149">
        <f>IF(ISBLANK(Comparaison!W54),Comparaison!W53,Comparaison!W54)</f>
        <v>0</v>
      </c>
      <c r="X55" s="149">
        <f>IF(ISBLANK(Comparaison!X54),Comparaison!X53,Comparaison!X54)</f>
        <v>0</v>
      </c>
      <c r="Y55" s="149">
        <f>IF(ISBLANK(Comparaison!Y54),Comparaison!Y53,Comparaison!Y54)</f>
        <v>0</v>
      </c>
      <c r="Z55" s="149">
        <f>IF(ISBLANK(Comparaison!Z54),Comparaison!Z53,Comparaison!Z54)</f>
        <v>0</v>
      </c>
      <c r="AA55" s="149">
        <f>IF(ISBLANK(Comparaison!AA54),Comparaison!AA53,Comparaison!AA54)</f>
        <v>0</v>
      </c>
      <c r="AB55" s="149">
        <f>IF(ISBLANK(Comparaison!AB54),Comparaison!AB53,Comparaison!AB54)</f>
        <v>0</v>
      </c>
      <c r="AC55" s="149">
        <f>IF(ISBLANK(Comparaison!AC54),Comparaison!AC53,Comparaison!AC54)</f>
        <v>0</v>
      </c>
      <c r="AD55" s="149">
        <f>IF(ISBLANK(Comparaison!AD54),Comparaison!AD53,Comparaison!AD54)</f>
        <v>0</v>
      </c>
      <c r="AE55" s="149">
        <f>IF(ISBLANK(Comparaison!AE54),Comparaison!AE53,Comparaison!AE54)</f>
        <v>0</v>
      </c>
      <c r="AF55" s="149">
        <f>IF(ISBLANK(Comparaison!AF54),Comparaison!AF53,Comparaison!AF54)</f>
        <v>0</v>
      </c>
      <c r="AG55" s="149">
        <f>IF(ISBLANK(Comparaison!AG54),Comparaison!AG53,Comparaison!AG54)</f>
        <v>0</v>
      </c>
      <c r="AH55" s="149">
        <f>IF(ISBLANK(Comparaison!AH54),Comparaison!AH53,Comparaison!AH54)</f>
        <v>0</v>
      </c>
      <c r="AI55" s="149">
        <f>IF(ISBLANK(Comparaison!AI54),Comparaison!AI53,Comparaison!AI54)</f>
        <v>0</v>
      </c>
      <c r="AJ55" s="149">
        <f>IF(ISBLANK(Comparaison!AJ54),Comparaison!AJ53,Comparaison!AJ54)</f>
        <v>0</v>
      </c>
      <c r="AK55" s="149">
        <f>IF(ISBLANK(Comparaison!AK54),Comparaison!AK53,Comparaison!AK54)</f>
        <v>0</v>
      </c>
      <c r="AL55" s="149">
        <f>IF(ISBLANK(Comparaison!AL54),Comparaison!AL53,Comparaison!AL54)</f>
        <v>0</v>
      </c>
    </row>
    <row r="56" spans="1:61" s="110" customFormat="1" x14ac:dyDescent="0.2">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268"/>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row>
    <row r="57" spans="1:61" ht="15.75" x14ac:dyDescent="0.2">
      <c r="A57" s="268"/>
      <c r="B57" s="205" t="s">
        <v>265</v>
      </c>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268"/>
      <c r="AN57" s="202"/>
      <c r="AO57" s="340"/>
      <c r="AP57" s="340"/>
      <c r="AQ57" s="340"/>
      <c r="AR57" s="340"/>
      <c r="AS57" s="340"/>
      <c r="AT57" s="340"/>
      <c r="AU57" s="340"/>
      <c r="AV57" s="340"/>
      <c r="AW57" s="340"/>
      <c r="AX57" s="340"/>
      <c r="AY57" s="340"/>
      <c r="AZ57" s="340"/>
      <c r="BA57" s="340"/>
      <c r="BB57" s="340"/>
      <c r="BC57" s="340"/>
      <c r="BD57" s="340"/>
      <c r="BE57" s="340"/>
      <c r="BF57" s="340"/>
      <c r="BG57" s="340"/>
      <c r="BH57" s="340"/>
      <c r="BI57" s="340"/>
    </row>
    <row r="58" spans="1:61" ht="15.75" x14ac:dyDescent="0.2">
      <c r="A58" s="268"/>
      <c r="B58" s="111" t="s">
        <v>114</v>
      </c>
      <c r="C58" s="315" t="s">
        <v>244</v>
      </c>
      <c r="D58" s="315"/>
      <c r="E58" s="315"/>
      <c r="F58" s="315"/>
      <c r="G58" s="315"/>
      <c r="H58" s="315"/>
      <c r="I58" s="315"/>
      <c r="J58" s="315"/>
      <c r="K58" s="315"/>
      <c r="L58" s="315"/>
      <c r="M58" s="315"/>
      <c r="N58" s="316"/>
      <c r="O58" s="317" t="s">
        <v>245</v>
      </c>
      <c r="P58" s="318"/>
      <c r="Q58" s="318"/>
      <c r="R58" s="318"/>
      <c r="S58" s="318"/>
      <c r="T58" s="318"/>
      <c r="U58" s="318"/>
      <c r="V58" s="318"/>
      <c r="W58" s="318"/>
      <c r="X58" s="318"/>
      <c r="Y58" s="318"/>
      <c r="Z58" s="319"/>
      <c r="AA58" s="337" t="s">
        <v>246</v>
      </c>
      <c r="AB58" s="338"/>
      <c r="AC58" s="338"/>
      <c r="AD58" s="338"/>
      <c r="AE58" s="338"/>
      <c r="AF58" s="338"/>
      <c r="AG58" s="338"/>
      <c r="AH58" s="338"/>
      <c r="AI58" s="338"/>
      <c r="AJ58" s="338"/>
      <c r="AK58" s="338"/>
      <c r="AL58" s="339"/>
      <c r="AM58" s="268"/>
      <c r="AN58" s="202"/>
      <c r="AO58" s="340"/>
      <c r="AP58" s="340"/>
      <c r="AQ58" s="340"/>
      <c r="AR58" s="340"/>
      <c r="AS58" s="340"/>
      <c r="AT58" s="340"/>
      <c r="AU58" s="340"/>
      <c r="AV58" s="340"/>
      <c r="AW58" s="340"/>
      <c r="AX58" s="340"/>
      <c r="AY58" s="340"/>
      <c r="AZ58" s="340"/>
      <c r="BA58" s="340"/>
      <c r="BB58" s="340"/>
      <c r="BC58" s="340"/>
      <c r="BD58" s="340"/>
      <c r="BE58" s="340"/>
      <c r="BF58" s="340"/>
      <c r="BG58" s="340"/>
      <c r="BH58" s="340"/>
      <c r="BI58" s="340"/>
    </row>
    <row r="59" spans="1:61" s="113" customFormat="1" ht="16.5" thickBot="1" x14ac:dyDescent="0.25">
      <c r="A59" s="112"/>
      <c r="B59" s="111" t="s">
        <v>247</v>
      </c>
      <c r="C59" s="294" t="s">
        <v>213</v>
      </c>
      <c r="D59" s="294"/>
      <c r="E59" s="294" t="s">
        <v>248</v>
      </c>
      <c r="F59" s="294"/>
      <c r="G59" s="294" t="s">
        <v>249</v>
      </c>
      <c r="H59" s="294"/>
      <c r="I59" s="294" t="s">
        <v>250</v>
      </c>
      <c r="J59" s="294"/>
      <c r="K59" s="294" t="s">
        <v>251</v>
      </c>
      <c r="L59" s="294"/>
      <c r="M59" s="294" t="s">
        <v>252</v>
      </c>
      <c r="N59" s="295"/>
      <c r="O59" s="299" t="s">
        <v>213</v>
      </c>
      <c r="P59" s="300"/>
      <c r="Q59" s="300"/>
      <c r="R59" s="300" t="s">
        <v>248</v>
      </c>
      <c r="S59" s="300"/>
      <c r="T59" s="300"/>
      <c r="U59" s="300" t="s">
        <v>249</v>
      </c>
      <c r="V59" s="300"/>
      <c r="W59" s="300"/>
      <c r="X59" s="300" t="s">
        <v>250</v>
      </c>
      <c r="Y59" s="300"/>
      <c r="Z59" s="301"/>
      <c r="AA59" s="310" t="s">
        <v>213</v>
      </c>
      <c r="AB59" s="311"/>
      <c r="AC59" s="311"/>
      <c r="AD59" s="311"/>
      <c r="AE59" s="311" t="s">
        <v>248</v>
      </c>
      <c r="AF59" s="311"/>
      <c r="AG59" s="311"/>
      <c r="AH59" s="311"/>
      <c r="AI59" s="311" t="s">
        <v>249</v>
      </c>
      <c r="AJ59" s="311"/>
      <c r="AK59" s="311"/>
      <c r="AL59" s="312"/>
      <c r="AM59" s="268"/>
      <c r="AN59" s="202"/>
    </row>
    <row r="60" spans="1:61" s="113" customFormat="1" ht="15.75" x14ac:dyDescent="0.2">
      <c r="A60" s="112"/>
      <c r="B60" s="111" t="s">
        <v>116</v>
      </c>
      <c r="C60" s="307">
        <v>1</v>
      </c>
      <c r="D60" s="306">
        <f>C60+1</f>
        <v>2</v>
      </c>
      <c r="E60" s="307">
        <f t="shared" ref="E60" si="0">D60+1</f>
        <v>3</v>
      </c>
      <c r="F60" s="306">
        <f t="shared" ref="F60" si="1">E60+1</f>
        <v>4</v>
      </c>
      <c r="G60" s="307">
        <f t="shared" ref="G60" si="2">F60+1</f>
        <v>5</v>
      </c>
      <c r="H60" s="306">
        <f t="shared" ref="H60" si="3">G60+1</f>
        <v>6</v>
      </c>
      <c r="I60" s="307">
        <f t="shared" ref="I60" si="4">H60+1</f>
        <v>7</v>
      </c>
      <c r="J60" s="306">
        <f t="shared" ref="J60" si="5">I60+1</f>
        <v>8</v>
      </c>
      <c r="K60" s="307">
        <f t="shared" ref="K60" si="6">J60+1</f>
        <v>9</v>
      </c>
      <c r="L60" s="306">
        <f t="shared" ref="L60" si="7">K60+1</f>
        <v>10</v>
      </c>
      <c r="M60" s="307">
        <f t="shared" ref="M60" si="8">L60+1</f>
        <v>11</v>
      </c>
      <c r="N60" s="306">
        <f t="shared" ref="N60" si="9">M60+1</f>
        <v>12</v>
      </c>
      <c r="O60" s="307">
        <v>1</v>
      </c>
      <c r="P60" s="305">
        <f>O60+1</f>
        <v>2</v>
      </c>
      <c r="Q60" s="306">
        <f t="shared" ref="Q60" si="10">P60+1</f>
        <v>3</v>
      </c>
      <c r="R60" s="307">
        <f t="shared" ref="R60" si="11">Q60+1</f>
        <v>4</v>
      </c>
      <c r="S60" s="305">
        <f t="shared" ref="S60" si="12">R60+1</f>
        <v>5</v>
      </c>
      <c r="T60" s="306">
        <f t="shared" ref="T60" si="13">S60+1</f>
        <v>6</v>
      </c>
      <c r="U60" s="307">
        <f t="shared" ref="U60" si="14">T60+1</f>
        <v>7</v>
      </c>
      <c r="V60" s="305">
        <f t="shared" ref="V60" si="15">U60+1</f>
        <v>8</v>
      </c>
      <c r="W60" s="306">
        <f t="shared" ref="W60" si="16">V60+1</f>
        <v>9</v>
      </c>
      <c r="X60" s="307">
        <f t="shared" ref="X60" si="17">W60+1</f>
        <v>10</v>
      </c>
      <c r="Y60" s="305">
        <f t="shared" ref="Y60" si="18">X60+1</f>
        <v>11</v>
      </c>
      <c r="Z60" s="306">
        <f t="shared" ref="Z60" si="19">Y60+1</f>
        <v>12</v>
      </c>
      <c r="AA60" s="307">
        <v>1</v>
      </c>
      <c r="AB60" s="305">
        <f>AA60+1</f>
        <v>2</v>
      </c>
      <c r="AC60" s="305">
        <f t="shared" ref="AC60" si="20">AB60+1</f>
        <v>3</v>
      </c>
      <c r="AD60" s="306">
        <f t="shared" ref="AD60" si="21">AC60+1</f>
        <v>4</v>
      </c>
      <c r="AE60" s="307">
        <f t="shared" ref="AE60" si="22">AD60+1</f>
        <v>5</v>
      </c>
      <c r="AF60" s="305">
        <f t="shared" ref="AF60" si="23">AE60+1</f>
        <v>6</v>
      </c>
      <c r="AG60" s="305">
        <f t="shared" ref="AG60" si="24">AF60+1</f>
        <v>7</v>
      </c>
      <c r="AH60" s="306">
        <f t="shared" ref="AH60" si="25">AG60+1</f>
        <v>8</v>
      </c>
      <c r="AI60" s="307">
        <f t="shared" ref="AI60" si="26">AH60+1</f>
        <v>9</v>
      </c>
      <c r="AJ60" s="305">
        <f t="shared" ref="AJ60" si="27">AI60+1</f>
        <v>10</v>
      </c>
      <c r="AK60" s="305">
        <f t="shared" ref="AK60" si="28">AJ60+1</f>
        <v>11</v>
      </c>
      <c r="AL60" s="308">
        <f t="shared" ref="AL60" si="29">AK60+1</f>
        <v>12</v>
      </c>
      <c r="AM60" s="268"/>
      <c r="AN60" s="202"/>
    </row>
    <row r="61" spans="1:61" s="440" customFormat="1" ht="57" customHeight="1" x14ac:dyDescent="0.2">
      <c r="A61" s="421"/>
      <c r="B61" s="111" t="s">
        <v>266</v>
      </c>
      <c r="C61" s="429" t="str">
        <f>'Tableau de bord'!$C$33</f>
        <v>Pommes de terre</v>
      </c>
      <c r="D61" s="430" t="str">
        <f>'Tableau de bord'!$C$34</f>
        <v>Maïs</v>
      </c>
      <c r="E61" s="429" t="str">
        <f>'Tableau de bord'!$C$33</f>
        <v>Pommes de terre</v>
      </c>
      <c r="F61" s="430" t="str">
        <f>'Tableau de bord'!$C$34</f>
        <v>Maïs</v>
      </c>
      <c r="G61" s="429" t="str">
        <f>'Tableau de bord'!$C$33</f>
        <v>Pommes de terre</v>
      </c>
      <c r="H61" s="430" t="str">
        <f>'Tableau de bord'!$C$34</f>
        <v>Maïs</v>
      </c>
      <c r="I61" s="429" t="str">
        <f>'Tableau de bord'!$C$33</f>
        <v>Pommes de terre</v>
      </c>
      <c r="J61" s="430" t="str">
        <f>'Tableau de bord'!$C$34</f>
        <v>Maïs</v>
      </c>
      <c r="K61" s="429" t="str">
        <f>'Tableau de bord'!$C$33</f>
        <v>Pommes de terre</v>
      </c>
      <c r="L61" s="430" t="str">
        <f>'Tableau de bord'!$C$34</f>
        <v>Maïs</v>
      </c>
      <c r="M61" s="429" t="str">
        <f>'Tableau de bord'!$C$33</f>
        <v>Pommes de terre</v>
      </c>
      <c r="N61" s="430" t="str">
        <f>'Tableau de bord'!$C$34</f>
        <v>Maïs</v>
      </c>
      <c r="O61" s="429" t="str">
        <f>'Tableau de bord'!$D$33</f>
        <v>Pommes de terre</v>
      </c>
      <c r="P61" s="431" t="str">
        <f>'Tableau de bord'!$D$34</f>
        <v>Orge</v>
      </c>
      <c r="Q61" s="430" t="str">
        <f>'Tableau de bord'!$D$35</f>
        <v>Culture fourragère (An 1)</v>
      </c>
      <c r="R61" s="429" t="str">
        <f>'Tableau de bord'!$D$33</f>
        <v>Pommes de terre</v>
      </c>
      <c r="S61" s="431" t="str">
        <f>'Tableau de bord'!$D$34</f>
        <v>Orge</v>
      </c>
      <c r="T61" s="430" t="str">
        <f>'Tableau de bord'!$D$35</f>
        <v>Culture fourragère (An 1)</v>
      </c>
      <c r="U61" s="429" t="str">
        <f>'Tableau de bord'!$D$33</f>
        <v>Pommes de terre</v>
      </c>
      <c r="V61" s="431" t="str">
        <f>'Tableau de bord'!$D$34</f>
        <v>Orge</v>
      </c>
      <c r="W61" s="430" t="str">
        <f>'Tableau de bord'!$D$35</f>
        <v>Culture fourragère (An 1)</v>
      </c>
      <c r="X61" s="429" t="str">
        <f>'Tableau de bord'!$D$33</f>
        <v>Pommes de terre</v>
      </c>
      <c r="Y61" s="431" t="str">
        <f>'Tableau de bord'!$D$34</f>
        <v>Orge</v>
      </c>
      <c r="Z61" s="430" t="str">
        <f>'Tableau de bord'!$D$35</f>
        <v>Culture fourragère (An 1)</v>
      </c>
      <c r="AA61" s="429" t="str">
        <f>'Tableau de bord'!$E$33</f>
        <v>Pommes de terre</v>
      </c>
      <c r="AB61" s="431" t="str">
        <f>'Tableau de bord'!$E$34</f>
        <v>Maïs</v>
      </c>
      <c r="AC61" s="431" t="str">
        <f>'Tableau de bord'!$E$35</f>
        <v>Blé (hiver)</v>
      </c>
      <c r="AD61" s="430" t="str">
        <f>'Tableau de bord'!$E$36</f>
        <v>Culture fourragère (An 1)</v>
      </c>
      <c r="AE61" s="429" t="str">
        <f>'Tableau de bord'!$E$33</f>
        <v>Pommes de terre</v>
      </c>
      <c r="AF61" s="431" t="str">
        <f>'Tableau de bord'!$E$34</f>
        <v>Maïs</v>
      </c>
      <c r="AG61" s="431" t="str">
        <f>'Tableau de bord'!$E$35</f>
        <v>Blé (hiver)</v>
      </c>
      <c r="AH61" s="430" t="str">
        <f>'Tableau de bord'!$E$36</f>
        <v>Culture fourragère (An 1)</v>
      </c>
      <c r="AI61" s="429" t="str">
        <f>'Tableau de bord'!$E$33</f>
        <v>Pommes de terre</v>
      </c>
      <c r="AJ61" s="431" t="str">
        <f>'Tableau de bord'!$E$34</f>
        <v>Maïs</v>
      </c>
      <c r="AK61" s="431" t="str">
        <f>'Tableau de bord'!$E$35</f>
        <v>Blé (hiver)</v>
      </c>
      <c r="AL61" s="430" t="str">
        <f>'Tableau de bord'!$E$36</f>
        <v>Culture fourragère (An 1)</v>
      </c>
      <c r="AM61" s="421"/>
      <c r="AN61" s="229"/>
      <c r="AO61" s="391"/>
      <c r="AP61" s="391"/>
      <c r="AQ61" s="391"/>
      <c r="AR61" s="391"/>
      <c r="AS61" s="391"/>
      <c r="AT61" s="391"/>
      <c r="AU61" s="391"/>
      <c r="AV61" s="391"/>
      <c r="AW61" s="391"/>
      <c r="AX61" s="391"/>
      <c r="AY61" s="391"/>
      <c r="AZ61" s="391"/>
      <c r="BA61" s="391"/>
      <c r="BB61" s="391"/>
      <c r="BC61" s="391"/>
      <c r="BD61" s="391"/>
      <c r="BE61" s="391"/>
      <c r="BF61" s="391"/>
      <c r="BG61" s="391"/>
      <c r="BH61" s="391"/>
      <c r="BI61" s="391"/>
    </row>
    <row r="62" spans="1:61" s="5" customFormat="1" ht="15.75" x14ac:dyDescent="0.2">
      <c r="A62" s="47"/>
      <c r="B62" s="72" t="str">
        <f>Rotation_Hide!B7</f>
        <v>Engrais</v>
      </c>
      <c r="C62" s="320">
        <f>Rotation_Hide!$C$7*(1+C40)</f>
        <v>945.98</v>
      </c>
      <c r="D62" s="321">
        <f>Rotation_Hide!$D$7*(1+D40)</f>
        <v>336.47</v>
      </c>
      <c r="E62" s="320">
        <f>Rotation_Hide!$C$7*(1+E40)</f>
        <v>945.98</v>
      </c>
      <c r="F62" s="321">
        <f>Rotation_Hide!$D$7*(1+F40)</f>
        <v>336.47</v>
      </c>
      <c r="G62" s="320">
        <f>Rotation_Hide!$C$7*(1+G40)</f>
        <v>945.98</v>
      </c>
      <c r="H62" s="321">
        <f>Rotation_Hide!$D$7*(1+H40)</f>
        <v>336.47</v>
      </c>
      <c r="I62" s="320">
        <f>Rotation_Hide!$C$7*(1+I40)</f>
        <v>945.98</v>
      </c>
      <c r="J62" s="321">
        <f>Rotation_Hide!$D$7*(1+J40)</f>
        <v>336.47</v>
      </c>
      <c r="K62" s="320">
        <f>Rotation_Hide!$C$7*(1+K40)</f>
        <v>945.98</v>
      </c>
      <c r="L62" s="321">
        <f>Rotation_Hide!$D$7*(1+L40)</f>
        <v>336.47</v>
      </c>
      <c r="M62" s="320">
        <f>Rotation_Hide!$C$7*(1+M40)</f>
        <v>945.98</v>
      </c>
      <c r="N62" s="321">
        <f>Rotation_Hide!$D$7*(1+N40)</f>
        <v>336.47</v>
      </c>
      <c r="O62" s="320">
        <f>Rotation_Hide!$E$7*(1+O40)</f>
        <v>945.98</v>
      </c>
      <c r="P62" s="173">
        <f>Rotation_Hide!$F$7*(1+P40)</f>
        <v>102.5</v>
      </c>
      <c r="Q62" s="321">
        <f>Rotation_Hide!$G$7*(1+Q40)</f>
        <v>189</v>
      </c>
      <c r="R62" s="320">
        <f>Rotation_Hide!$E$7*(1+R40)</f>
        <v>945.98</v>
      </c>
      <c r="S62" s="173">
        <f>Rotation_Hide!$F$7*(1+S40)</f>
        <v>102.5</v>
      </c>
      <c r="T62" s="321">
        <f>Rotation_Hide!$G$7*(1+T40)</f>
        <v>189</v>
      </c>
      <c r="U62" s="320">
        <f>Rotation_Hide!$E$7*(1+U40)</f>
        <v>945.98</v>
      </c>
      <c r="V62" s="173">
        <f>Rotation_Hide!$F$7*(1+V40)</f>
        <v>102.5</v>
      </c>
      <c r="W62" s="321">
        <f>Rotation_Hide!$G$7*(1+W40)</f>
        <v>189</v>
      </c>
      <c r="X62" s="320">
        <f>Rotation_Hide!$E$7*(1+X40)</f>
        <v>945.98</v>
      </c>
      <c r="Y62" s="173">
        <f>Rotation_Hide!$F$7*(1+Y40)</f>
        <v>102.5</v>
      </c>
      <c r="Z62" s="321">
        <f>Rotation_Hide!$G$7*(1+Z40)</f>
        <v>189</v>
      </c>
      <c r="AA62" s="320">
        <f>Rotation_Hide!$H$7*(1+AA40)</f>
        <v>945.98</v>
      </c>
      <c r="AB62" s="173">
        <f>Rotation_Hide!$I$7*(1+AB40)</f>
        <v>336.47</v>
      </c>
      <c r="AC62" s="173">
        <f>Rotation_Hide!$J$7*(1+AC40)</f>
        <v>197.49</v>
      </c>
      <c r="AD62" s="321">
        <f>Rotation_Hide!$K$7*(1+AD40)</f>
        <v>189</v>
      </c>
      <c r="AE62" s="320">
        <f>Rotation_Hide!$H$7*(1+AE40)</f>
        <v>945.98</v>
      </c>
      <c r="AF62" s="173">
        <f>Rotation_Hide!$I$7*(1+$AF$40)</f>
        <v>336.47</v>
      </c>
      <c r="AG62" s="173">
        <f>Rotation_Hide!$J$7*(1+$AG$40)</f>
        <v>197.49</v>
      </c>
      <c r="AH62" s="321">
        <f>Rotation_Hide!$K$7*(1+$AH$40)</f>
        <v>189</v>
      </c>
      <c r="AI62" s="320">
        <f>Rotation_Hide!$H$7*(1+AI40)</f>
        <v>945.98</v>
      </c>
      <c r="AJ62" s="173">
        <f>Rotation_Hide!$I$7*(1+$AJ$40)</f>
        <v>336.47</v>
      </c>
      <c r="AK62" s="173">
        <f>Rotation_Hide!$J$7*(1+$AK$40)</f>
        <v>197.49</v>
      </c>
      <c r="AL62" s="321">
        <f>Rotation_Hide!$K$7*(1+$AL$40)</f>
        <v>189</v>
      </c>
      <c r="AM62" s="268"/>
      <c r="AN62" s="202"/>
    </row>
    <row r="63" spans="1:61" s="5" customFormat="1" ht="15.75" x14ac:dyDescent="0.2">
      <c r="A63" s="47"/>
      <c r="B63" s="72" t="str">
        <f>Rotation_Hide!B8</f>
        <v>Pesticides ou d’herbicides</v>
      </c>
      <c r="C63" s="320">
        <f>Rotation_Hide!$C$8*(1+$C$43)</f>
        <v>465.16999999999996</v>
      </c>
      <c r="D63" s="321">
        <f>Rotation_Hide!$D$8*(1+$D$43)</f>
        <v>28.939999999999998</v>
      </c>
      <c r="E63" s="320">
        <f>Rotation_Hide!$C$8*(1+$E$43)</f>
        <v>465.16999999999996</v>
      </c>
      <c r="F63" s="321">
        <f>Rotation_Hide!$D$8*(1+$F$43)</f>
        <v>28.939999999999998</v>
      </c>
      <c r="G63" s="320">
        <f>Rotation_Hide!$C$8*(1+$G$43)</f>
        <v>465.16999999999996</v>
      </c>
      <c r="H63" s="321">
        <f>Rotation_Hide!$D$8*(1+$H$43)</f>
        <v>28.939999999999998</v>
      </c>
      <c r="I63" s="320">
        <f>Rotation_Hide!$C$8*(1+$I$43)</f>
        <v>465.16999999999996</v>
      </c>
      <c r="J63" s="321">
        <f>Rotation_Hide!$D$8*(1+$J$43)</f>
        <v>28.939999999999998</v>
      </c>
      <c r="K63" s="320">
        <f>Rotation_Hide!$C$8*(1+$K$43)</f>
        <v>465.16999999999996</v>
      </c>
      <c r="L63" s="321">
        <f>Rotation_Hide!$D$8*(1+$L$43)</f>
        <v>28.939999999999998</v>
      </c>
      <c r="M63" s="320">
        <f>Rotation_Hide!$C$8*(1+$M$43)</f>
        <v>465.16999999999996</v>
      </c>
      <c r="N63" s="321">
        <f>Rotation_Hide!$D$8*(1+$N$43)</f>
        <v>28.939999999999998</v>
      </c>
      <c r="O63" s="320">
        <f>Rotation_Hide!$E$8*(1+$O$43)</f>
        <v>465.16999999999996</v>
      </c>
      <c r="P63" s="173">
        <f>Rotation_Hide!$F$8*(1+$P$43)</f>
        <v>33.479999999999997</v>
      </c>
      <c r="Q63" s="321">
        <f>Rotation_Hide!$G$8*(1+$Q$43)</f>
        <v>0</v>
      </c>
      <c r="R63" s="320">
        <f>Rotation_Hide!$E$8*(1+$R$43)</f>
        <v>465.16999999999996</v>
      </c>
      <c r="S63" s="173">
        <f>Rotation_Hide!$F$8*(1+$S$43)</f>
        <v>33.479999999999997</v>
      </c>
      <c r="T63" s="321">
        <f>Rotation_Hide!$G$8*(1+$T$43)</f>
        <v>0</v>
      </c>
      <c r="U63" s="320">
        <f>Rotation_Hide!$E$8*(1+U43)</f>
        <v>465.16999999999996</v>
      </c>
      <c r="V63" s="173">
        <f>Rotation_Hide!$F$8*(1+V43)</f>
        <v>33.479999999999997</v>
      </c>
      <c r="W63" s="321">
        <f>Rotation_Hide!$G$8*(1+W43)</f>
        <v>0</v>
      </c>
      <c r="X63" s="320">
        <f>Rotation_Hide!$E$8*(1+X43)</f>
        <v>465.16999999999996</v>
      </c>
      <c r="Y63" s="173">
        <f>Rotation_Hide!$F$8*(1+Y43)</f>
        <v>33.479999999999997</v>
      </c>
      <c r="Z63" s="321">
        <f>Rotation_Hide!$G$8*(1+Z43)</f>
        <v>0</v>
      </c>
      <c r="AA63" s="320">
        <f>Rotation_Hide!$H$8*(1+AA43)</f>
        <v>465.16999999999996</v>
      </c>
      <c r="AB63" s="173">
        <f>Rotation_Hide!$I$8*(1+$AB$43)</f>
        <v>28.939999999999998</v>
      </c>
      <c r="AC63" s="173">
        <f>Rotation_Hide!$J$8*(1+$AC$43)</f>
        <v>58.84</v>
      </c>
      <c r="AD63" s="321">
        <f>Rotation_Hide!$K$8*(1+$AD$43)</f>
        <v>0</v>
      </c>
      <c r="AE63" s="320">
        <f>Rotation_Hide!$H$8*(1+$AE$43)</f>
        <v>465.16999999999996</v>
      </c>
      <c r="AF63" s="173">
        <f>Rotation_Hide!$I$8*(1+$AF$43)</f>
        <v>28.939999999999998</v>
      </c>
      <c r="AG63" s="173">
        <f>Rotation_Hide!$J$8*(1+$AG$43)</f>
        <v>58.84</v>
      </c>
      <c r="AH63" s="321">
        <f>Rotation_Hide!$K$8*(1+$AH$43)</f>
        <v>0</v>
      </c>
      <c r="AI63" s="320">
        <f>Rotation_Hide!$H$8*(1+$AI$43)</f>
        <v>465.16999999999996</v>
      </c>
      <c r="AJ63" s="173">
        <f>Rotation_Hide!$I$8*(1+$AJ$43)</f>
        <v>28.939999999999998</v>
      </c>
      <c r="AK63" s="173">
        <f>Rotation_Hide!$J$8*(1+$AK$43)</f>
        <v>58.84</v>
      </c>
      <c r="AL63" s="321">
        <f>Rotation_Hide!$K$8*(1+$AL$43)</f>
        <v>0</v>
      </c>
      <c r="AM63" s="268"/>
      <c r="AN63" s="202"/>
    </row>
    <row r="64" spans="1:61" s="5" customFormat="1" ht="15.75" x14ac:dyDescent="0.2">
      <c r="A64" s="47"/>
      <c r="B64" s="186" t="str">
        <f>Rotation_Hide!B9</f>
        <v>Travail sur commande pour l’application d’engrais, de pesticides ou d’herbicides</v>
      </c>
      <c r="C64" s="320">
        <f>Rotation_Hide!$C$9*(1+C46)</f>
        <v>0</v>
      </c>
      <c r="D64" s="321">
        <f>Rotation_Hide!$D$9*(1+D46)</f>
        <v>0</v>
      </c>
      <c r="E64" s="320">
        <f>Rotation_Hide!$C$9*(1+E46)</f>
        <v>0</v>
      </c>
      <c r="F64" s="321">
        <f>Rotation_Hide!$D$9*(1+F46)</f>
        <v>0</v>
      </c>
      <c r="G64" s="320">
        <f>Rotation_Hide!$C$9*(1+G46)</f>
        <v>0</v>
      </c>
      <c r="H64" s="321">
        <f>Rotation_Hide!$D$9*(1+H46)</f>
        <v>0</v>
      </c>
      <c r="I64" s="320">
        <f>Rotation_Hide!$C$9*(1+I46)</f>
        <v>0</v>
      </c>
      <c r="J64" s="321">
        <f>Rotation_Hide!$D$9*(1+J46)</f>
        <v>0</v>
      </c>
      <c r="K64" s="320">
        <f>Rotation_Hide!$C$9*(1+K46)</f>
        <v>0</v>
      </c>
      <c r="L64" s="321">
        <f>Rotation_Hide!$D$9*(1+$L$46)</f>
        <v>0</v>
      </c>
      <c r="M64" s="320">
        <f>Rotation_Hide!$C$9*(1+$M$46)</f>
        <v>0</v>
      </c>
      <c r="N64" s="321">
        <f>Rotation_Hide!$D$9*(1+$N$46)</f>
        <v>0</v>
      </c>
      <c r="O64" s="320">
        <f>Rotation_Hide!$E$9*(1+O46)</f>
        <v>0</v>
      </c>
      <c r="P64" s="173">
        <f>Rotation_Hide!$F$9*(1+P46)</f>
        <v>0</v>
      </c>
      <c r="Q64" s="321">
        <f>Rotation_Hide!$G$9*(1+Q46)</f>
        <v>24.2</v>
      </c>
      <c r="R64" s="320">
        <f>Rotation_Hide!$E$9*(1+$R$46)</f>
        <v>0</v>
      </c>
      <c r="S64" s="173">
        <f>Rotation_Hide!$F$9*(1+$S$46)</f>
        <v>0</v>
      </c>
      <c r="T64" s="321">
        <f>Rotation_Hide!$G$9*(1+$T$46)</f>
        <v>24.2</v>
      </c>
      <c r="U64" s="320">
        <f>Rotation_Hide!$E$9*(1+$U$46)</f>
        <v>0</v>
      </c>
      <c r="V64" s="173">
        <f>Rotation_Hide!$F$9*(1+$V$46)</f>
        <v>0</v>
      </c>
      <c r="W64" s="321">
        <f>Rotation_Hide!$G$9*(1+$W$46)</f>
        <v>24.2</v>
      </c>
      <c r="X64" s="320">
        <f>Rotation_Hide!$E$9*(1+$X$46)</f>
        <v>0</v>
      </c>
      <c r="Y64" s="173">
        <f>Rotation_Hide!$F$9*(1+$Y$46)</f>
        <v>0</v>
      </c>
      <c r="Z64" s="321">
        <f>Rotation_Hide!$G$9*(1+$Z$46)</f>
        <v>24.2</v>
      </c>
      <c r="AA64" s="320">
        <f>Rotation_Hide!$H$9*(1+AA46)</f>
        <v>0</v>
      </c>
      <c r="AB64" s="173">
        <f>Rotation_Hide!$I$9*(1+AB46)</f>
        <v>0</v>
      </c>
      <c r="AC64" s="173">
        <f>Rotation_Hide!$J$9*(1+AC46)</f>
        <v>0</v>
      </c>
      <c r="AD64" s="321">
        <f>Rotation_Hide!$K$9*(1+AD46)</f>
        <v>24.2</v>
      </c>
      <c r="AE64" s="320">
        <f>Rotation_Hide!$H$9*(1+AE46)</f>
        <v>0</v>
      </c>
      <c r="AF64" s="173">
        <f>Rotation_Hide!$I$9*(1+AF46)</f>
        <v>0</v>
      </c>
      <c r="AG64" s="173">
        <f>Rotation_Hide!$J$9*(1+AG46)</f>
        <v>0</v>
      </c>
      <c r="AH64" s="321">
        <f>Rotation_Hide!$K$9*(1+AH46)</f>
        <v>24.2</v>
      </c>
      <c r="AI64" s="320">
        <f>Rotation_Hide!$H$9*(1+AI46)</f>
        <v>0</v>
      </c>
      <c r="AJ64" s="173">
        <f>Rotation_Hide!$I$9*(1+AJ46)</f>
        <v>0</v>
      </c>
      <c r="AK64" s="173">
        <f>Rotation_Hide!$J$9*(1+AK46)</f>
        <v>0</v>
      </c>
      <c r="AL64" s="321">
        <f>Rotation_Hide!$K$9*(1+AL46)</f>
        <v>24.2</v>
      </c>
      <c r="AM64" s="268"/>
      <c r="AN64" s="202"/>
    </row>
    <row r="65" spans="1:61" s="5" customFormat="1" ht="15.75" x14ac:dyDescent="0.2">
      <c r="A65" s="47"/>
      <c r="B65" s="72" t="str">
        <f>Rotation_Hide!B10</f>
        <v>Carburant utilisé pour l’épandage d’engrais, de pesticides ou d’herbicides</v>
      </c>
      <c r="C65" s="320">
        <f>Rotation_Hide!$C$10*(1+C49)</f>
        <v>0</v>
      </c>
      <c r="D65" s="321">
        <f>Rotation_Hide!$D$10*(1+D49)</f>
        <v>0</v>
      </c>
      <c r="E65" s="320">
        <f>Rotation_Hide!$C$10*(1+$E$49)</f>
        <v>0</v>
      </c>
      <c r="F65" s="321">
        <f>Rotation_Hide!$D$10*(1+$F$49)</f>
        <v>0</v>
      </c>
      <c r="G65" s="320">
        <f>Rotation_Hide!$C$10*(1+$G$49)</f>
        <v>0</v>
      </c>
      <c r="H65" s="321">
        <f>Rotation_Hide!$D$10*(1+$H$49)</f>
        <v>0</v>
      </c>
      <c r="I65" s="320">
        <f>Rotation_Hide!$C$10*(1+$I$49)</f>
        <v>0</v>
      </c>
      <c r="J65" s="321">
        <f>Rotation_Hide!$D$10*(1+$J$49)</f>
        <v>0</v>
      </c>
      <c r="K65" s="320">
        <f>Rotation_Hide!$C$10*(1+$K$49)</f>
        <v>0</v>
      </c>
      <c r="L65" s="321">
        <f>Rotation_Hide!$D$10*(1+$L$49)</f>
        <v>0</v>
      </c>
      <c r="M65" s="320">
        <f>Rotation_Hide!$C$10*(1+$M$49)</f>
        <v>0</v>
      </c>
      <c r="N65" s="321">
        <f>Rotation_Hide!$D$10*(1+$N$49)</f>
        <v>0</v>
      </c>
      <c r="O65" s="320">
        <f>Rotation_Hide!$E$10*(1+O49)</f>
        <v>0</v>
      </c>
      <c r="P65" s="173">
        <f>Rotation_Hide!$F$10*(1+P49)</f>
        <v>0</v>
      </c>
      <c r="Q65" s="321">
        <f>Rotation_Hide!$G$10*(1+Q49)</f>
        <v>0</v>
      </c>
      <c r="R65" s="320">
        <f>Rotation_Hide!$E$10*(1+R49)</f>
        <v>0</v>
      </c>
      <c r="S65" s="173">
        <f>Rotation_Hide!$F$10*(1+$S$49)</f>
        <v>0</v>
      </c>
      <c r="T65" s="321">
        <f>Rotation_Hide!$G$10*(1+T49)</f>
        <v>0</v>
      </c>
      <c r="U65" s="320">
        <f>Rotation_Hide!$E$10*(1+U49)</f>
        <v>0</v>
      </c>
      <c r="V65" s="173">
        <f>Rotation_Hide!$F$10*(1+V49)</f>
        <v>0</v>
      </c>
      <c r="W65" s="321">
        <f>Rotation_Hide!$G$10*(1+$W$49)</f>
        <v>0</v>
      </c>
      <c r="X65" s="320">
        <f>Rotation_Hide!$E$10*(1+$X$49)</f>
        <v>0</v>
      </c>
      <c r="Y65" s="173">
        <f>Rotation_Hide!$F$10*(1+$Y$49)</f>
        <v>0</v>
      </c>
      <c r="Z65" s="321">
        <f>Rotation_Hide!$G$10*(1+$Z$49)</f>
        <v>0</v>
      </c>
      <c r="AA65" s="320">
        <f>Rotation_Hide!$H$10*(1+AA49)</f>
        <v>0</v>
      </c>
      <c r="AB65" s="173">
        <f>Rotation_Hide!$I$10*(1+AB49)</f>
        <v>0</v>
      </c>
      <c r="AC65" s="173">
        <f>Rotation_Hide!$J$10*(1+AC49)</f>
        <v>0</v>
      </c>
      <c r="AD65" s="321">
        <f>Rotation_Hide!$K$10*(1+AD49)</f>
        <v>0</v>
      </c>
      <c r="AE65" s="320">
        <f>Rotation_Hide!$H$10*(1+AE49)</f>
        <v>0</v>
      </c>
      <c r="AF65" s="173">
        <f>Rotation_Hide!$I$10*(1+$AF$49)</f>
        <v>0</v>
      </c>
      <c r="AG65" s="173">
        <f>Rotation_Hide!$J$10*(1+$AG$49)</f>
        <v>0</v>
      </c>
      <c r="AH65" s="321">
        <f>Rotation_Hide!$K$10*(1+$AH$49)</f>
        <v>0</v>
      </c>
      <c r="AI65" s="320">
        <f>Rotation_Hide!$H$10*(1+$AI$49)</f>
        <v>0</v>
      </c>
      <c r="AJ65" s="173">
        <f>Rotation_Hide!$I$10*(1+AJ49)</f>
        <v>0</v>
      </c>
      <c r="AK65" s="173">
        <f>Rotation_Hide!$J$10*(1+AK49)</f>
        <v>0</v>
      </c>
      <c r="AL65" s="321">
        <f>Rotation_Hide!$K$10*(1+AL49)</f>
        <v>0</v>
      </c>
      <c r="AM65" s="268"/>
      <c r="AN65" s="202"/>
    </row>
    <row r="66" spans="1:61" s="5" customFormat="1" ht="15.75" x14ac:dyDescent="0.2">
      <c r="A66" s="47"/>
      <c r="B66" s="186" t="str">
        <f>Rotation_Hide!B11</f>
        <v>Main-d’œuvre embauchée ou familiale</v>
      </c>
      <c r="C66" s="320">
        <f>Rotation_Hide!$C$11*(1+C52)</f>
        <v>566.34</v>
      </c>
      <c r="D66" s="321">
        <f>Rotation_Hide!$D$11*(1+D52)</f>
        <v>24.31</v>
      </c>
      <c r="E66" s="320">
        <f>Rotation_Hide!$C$11*(1+E52)</f>
        <v>566.34</v>
      </c>
      <c r="F66" s="321">
        <f>Rotation_Hide!$D$11*(1+F52)</f>
        <v>24.31</v>
      </c>
      <c r="G66" s="320">
        <f>Rotation_Hide!$C$11*(1+G52)</f>
        <v>566.34</v>
      </c>
      <c r="H66" s="321">
        <f>Rotation_Hide!$D$11*(1+H52)</f>
        <v>24.31</v>
      </c>
      <c r="I66" s="320">
        <f>Rotation_Hide!$C$11*(1+$I$52)</f>
        <v>566.34</v>
      </c>
      <c r="J66" s="321">
        <f>Rotation_Hide!$D$11*(1+$J$52)</f>
        <v>24.31</v>
      </c>
      <c r="K66" s="320">
        <f>Rotation_Hide!$C$11*(1+$K$52)</f>
        <v>566.34</v>
      </c>
      <c r="L66" s="321">
        <f>Rotation_Hide!$D$11*(1+$L$52)</f>
        <v>24.31</v>
      </c>
      <c r="M66" s="320">
        <f>Rotation_Hide!$C$11*(1+$M$52)</f>
        <v>566.34</v>
      </c>
      <c r="N66" s="321">
        <f>Rotation_Hide!$D$11*(1+$N$52)</f>
        <v>24.31</v>
      </c>
      <c r="O66" s="320">
        <f>Rotation_Hide!$E$11*(1+O52)</f>
        <v>566.34</v>
      </c>
      <c r="P66" s="173">
        <f>Rotation_Hide!$F$11*(1+P52)</f>
        <v>32</v>
      </c>
      <c r="Q66" s="321">
        <f>Rotation_Hide!$G$11*(1+Q52)</f>
        <v>0</v>
      </c>
      <c r="R66" s="320">
        <f>Rotation_Hide!$E$11*(1+R52)</f>
        <v>566.34</v>
      </c>
      <c r="S66" s="173">
        <f>Rotation_Hide!$F$11*(1+S52)</f>
        <v>32</v>
      </c>
      <c r="T66" s="321">
        <f>Rotation_Hide!$G$11*(1+$T$52)</f>
        <v>0</v>
      </c>
      <c r="U66" s="320">
        <f>Rotation_Hide!$E$11*(1+$U$52)</f>
        <v>566.34</v>
      </c>
      <c r="V66" s="173">
        <f>Rotation_Hide!$F$11*(1+$V$52)</f>
        <v>32</v>
      </c>
      <c r="W66" s="321">
        <f>Rotation_Hide!$G$11*(1+$W$52)</f>
        <v>0</v>
      </c>
      <c r="X66" s="320">
        <f>Rotation_Hide!$E$11*(1+$X$52)</f>
        <v>566.34</v>
      </c>
      <c r="Y66" s="173">
        <f>Rotation_Hide!$F$11*(1+$Y$52)</f>
        <v>32</v>
      </c>
      <c r="Z66" s="321">
        <f>Rotation_Hide!$G$11*(1+$Z$52)</f>
        <v>0</v>
      </c>
      <c r="AA66" s="320">
        <f>Rotation_Hide!$H$11*(1+AA52)</f>
        <v>566.34</v>
      </c>
      <c r="AB66" s="173">
        <f>Rotation_Hide!$I$11*(1+AB52)</f>
        <v>24.31</v>
      </c>
      <c r="AC66" s="173">
        <f>Rotation_Hide!$J$11*(1+AC52)</f>
        <v>35.32</v>
      </c>
      <c r="AD66" s="321">
        <f>Rotation_Hide!$K$11*(1+AD52)</f>
        <v>0</v>
      </c>
      <c r="AE66" s="320">
        <f>Rotation_Hide!$H$11*(1+AE52)</f>
        <v>566.34</v>
      </c>
      <c r="AF66" s="173">
        <f>Rotation_Hide!$I$11*(1+AF52)</f>
        <v>24.31</v>
      </c>
      <c r="AG66" s="173">
        <f>Rotation_Hide!$J$11*(1+AG52)</f>
        <v>35.32</v>
      </c>
      <c r="AH66" s="321">
        <f>Rotation_Hide!$K$11*(1+AH52)</f>
        <v>0</v>
      </c>
      <c r="AI66" s="320">
        <f>Rotation_Hide!$H$11*(1+AI52)</f>
        <v>566.34</v>
      </c>
      <c r="AJ66" s="173">
        <f>Rotation_Hide!$I$11*(1+AJ52)</f>
        <v>24.31</v>
      </c>
      <c r="AK66" s="173">
        <f>Rotation_Hide!$J$11*(1+AK52)</f>
        <v>35.32</v>
      </c>
      <c r="AL66" s="321">
        <f>Rotation_Hide!$K$11*(1+AL52)</f>
        <v>0</v>
      </c>
      <c r="AM66" s="268"/>
      <c r="AN66" s="202"/>
    </row>
    <row r="67" spans="1:61" ht="15.75" x14ac:dyDescent="0.2">
      <c r="A67" s="268"/>
      <c r="B67" s="187" t="s">
        <v>267</v>
      </c>
      <c r="C67" s="320">
        <f>SUM(C62:C66)</f>
        <v>1977.4900000000002</v>
      </c>
      <c r="D67" s="321">
        <f t="shared" ref="D67:AL67" si="30">SUM(D62:D66)</f>
        <v>389.72</v>
      </c>
      <c r="E67" s="320">
        <f t="shared" si="30"/>
        <v>1977.4900000000002</v>
      </c>
      <c r="F67" s="321">
        <f t="shared" si="30"/>
        <v>389.72</v>
      </c>
      <c r="G67" s="320">
        <f t="shared" si="30"/>
        <v>1977.4900000000002</v>
      </c>
      <c r="H67" s="321">
        <f t="shared" si="30"/>
        <v>389.72</v>
      </c>
      <c r="I67" s="320">
        <f t="shared" si="30"/>
        <v>1977.4900000000002</v>
      </c>
      <c r="J67" s="321">
        <f t="shared" si="30"/>
        <v>389.72</v>
      </c>
      <c r="K67" s="320">
        <f t="shared" si="30"/>
        <v>1977.4900000000002</v>
      </c>
      <c r="L67" s="321">
        <f t="shared" si="30"/>
        <v>389.72</v>
      </c>
      <c r="M67" s="320">
        <f t="shared" si="30"/>
        <v>1977.4900000000002</v>
      </c>
      <c r="N67" s="321">
        <f t="shared" si="30"/>
        <v>389.72</v>
      </c>
      <c r="O67" s="320">
        <f t="shared" si="30"/>
        <v>1977.4900000000002</v>
      </c>
      <c r="P67" s="173">
        <f t="shared" si="30"/>
        <v>167.98</v>
      </c>
      <c r="Q67" s="321">
        <f t="shared" si="30"/>
        <v>213.2</v>
      </c>
      <c r="R67" s="320">
        <f t="shared" si="30"/>
        <v>1977.4900000000002</v>
      </c>
      <c r="S67" s="173">
        <f t="shared" si="30"/>
        <v>167.98</v>
      </c>
      <c r="T67" s="321">
        <f t="shared" si="30"/>
        <v>213.2</v>
      </c>
      <c r="U67" s="320">
        <f t="shared" si="30"/>
        <v>1977.4900000000002</v>
      </c>
      <c r="V67" s="173">
        <f t="shared" si="30"/>
        <v>167.98</v>
      </c>
      <c r="W67" s="321">
        <f t="shared" si="30"/>
        <v>213.2</v>
      </c>
      <c r="X67" s="320">
        <f t="shared" si="30"/>
        <v>1977.4900000000002</v>
      </c>
      <c r="Y67" s="173">
        <f t="shared" si="30"/>
        <v>167.98</v>
      </c>
      <c r="Z67" s="321">
        <f t="shared" si="30"/>
        <v>213.2</v>
      </c>
      <c r="AA67" s="320">
        <f t="shared" si="30"/>
        <v>1977.4900000000002</v>
      </c>
      <c r="AB67" s="173">
        <f t="shared" si="30"/>
        <v>389.72</v>
      </c>
      <c r="AC67" s="173">
        <f t="shared" si="30"/>
        <v>291.65000000000003</v>
      </c>
      <c r="AD67" s="321">
        <f t="shared" si="30"/>
        <v>213.2</v>
      </c>
      <c r="AE67" s="320">
        <f t="shared" si="30"/>
        <v>1977.4900000000002</v>
      </c>
      <c r="AF67" s="173">
        <f t="shared" si="30"/>
        <v>389.72</v>
      </c>
      <c r="AG67" s="173">
        <f t="shared" si="30"/>
        <v>291.65000000000003</v>
      </c>
      <c r="AH67" s="321">
        <f t="shared" si="30"/>
        <v>213.2</v>
      </c>
      <c r="AI67" s="320">
        <f t="shared" si="30"/>
        <v>1977.4900000000002</v>
      </c>
      <c r="AJ67" s="173">
        <f t="shared" si="30"/>
        <v>389.72</v>
      </c>
      <c r="AK67" s="173">
        <f t="shared" si="30"/>
        <v>291.65000000000003</v>
      </c>
      <c r="AL67" s="321">
        <f t="shared" si="30"/>
        <v>213.2</v>
      </c>
      <c r="AM67" s="268"/>
      <c r="AN67" s="202"/>
      <c r="AO67" s="340"/>
      <c r="AP67" s="340"/>
      <c r="AQ67" s="340"/>
      <c r="AR67" s="340"/>
      <c r="AS67" s="340"/>
      <c r="AT67" s="340"/>
      <c r="AU67" s="340"/>
      <c r="AV67" s="340"/>
      <c r="AW67" s="340"/>
      <c r="AX67" s="340"/>
      <c r="AY67" s="340"/>
      <c r="AZ67" s="340"/>
      <c r="BA67" s="340"/>
      <c r="BB67" s="340"/>
      <c r="BC67" s="340"/>
      <c r="BD67" s="340"/>
      <c r="BE67" s="340"/>
      <c r="BF67" s="340"/>
      <c r="BG67" s="340"/>
      <c r="BH67" s="340"/>
      <c r="BI67" s="340"/>
    </row>
    <row r="68" spans="1:61" s="5" customFormat="1" ht="15.75" x14ac:dyDescent="0.2">
      <c r="A68" s="47"/>
      <c r="B68" s="188" t="s">
        <v>197</v>
      </c>
      <c r="C68" s="320">
        <f>Rotation_Hide!$C$13</f>
        <v>2229.92</v>
      </c>
      <c r="D68" s="321">
        <f>Rotation_Hide!$D$13</f>
        <v>457.01000000000005</v>
      </c>
      <c r="E68" s="320">
        <f>Rotation_Hide!$C$13</f>
        <v>2229.92</v>
      </c>
      <c r="F68" s="321">
        <f>Rotation_Hide!$D$13</f>
        <v>457.01000000000005</v>
      </c>
      <c r="G68" s="320">
        <f>Rotation_Hide!$C$13</f>
        <v>2229.92</v>
      </c>
      <c r="H68" s="321">
        <f>Rotation_Hide!$D$13</f>
        <v>457.01000000000005</v>
      </c>
      <c r="I68" s="320">
        <f>Rotation_Hide!$C$13</f>
        <v>2229.92</v>
      </c>
      <c r="J68" s="321">
        <f>Rotation_Hide!$D$13</f>
        <v>457.01000000000005</v>
      </c>
      <c r="K68" s="320">
        <f>Rotation_Hide!$C$13</f>
        <v>2229.92</v>
      </c>
      <c r="L68" s="321">
        <f>Rotation_Hide!$D$13</f>
        <v>457.01000000000005</v>
      </c>
      <c r="M68" s="320">
        <f>Rotation_Hide!$C$13</f>
        <v>2229.92</v>
      </c>
      <c r="N68" s="321">
        <f>Rotation_Hide!$D$13</f>
        <v>457.01000000000005</v>
      </c>
      <c r="O68" s="320">
        <f>Rotation_Hide!$E$13</f>
        <v>2229.92</v>
      </c>
      <c r="P68" s="173">
        <f>Rotation_Hide!$F$13</f>
        <v>241.84</v>
      </c>
      <c r="Q68" s="321">
        <f>Rotation_Hide!$G$13</f>
        <v>286.45776478232619</v>
      </c>
      <c r="R68" s="320">
        <f>Rotation_Hide!$E$13</f>
        <v>2229.92</v>
      </c>
      <c r="S68" s="173">
        <f>Rotation_Hide!$F$13</f>
        <v>241.84</v>
      </c>
      <c r="T68" s="321">
        <f>Rotation_Hide!$G$13</f>
        <v>286.45776478232619</v>
      </c>
      <c r="U68" s="320">
        <f>Rotation_Hide!$E$13</f>
        <v>2229.92</v>
      </c>
      <c r="V68" s="173">
        <f>Rotation_Hide!$F$13</f>
        <v>241.84</v>
      </c>
      <c r="W68" s="321">
        <f>Rotation_Hide!$G$13</f>
        <v>286.45776478232619</v>
      </c>
      <c r="X68" s="320">
        <f>Rotation_Hide!$E$13</f>
        <v>2229.92</v>
      </c>
      <c r="Y68" s="173">
        <f>Rotation_Hide!$F$13</f>
        <v>241.84</v>
      </c>
      <c r="Z68" s="321">
        <f>Rotation_Hide!$G$13</f>
        <v>286.45776478232619</v>
      </c>
      <c r="AA68" s="320">
        <f>Rotation_Hide!$H$13</f>
        <v>2229.92</v>
      </c>
      <c r="AB68" s="173">
        <f>Rotation_Hide!$I$13</f>
        <v>457.01000000000005</v>
      </c>
      <c r="AC68" s="173">
        <f>Rotation_Hide!$J$13</f>
        <v>243.32000000000002</v>
      </c>
      <c r="AD68" s="321">
        <f>Rotation_Hide!$K$13</f>
        <v>286.45776478232619</v>
      </c>
      <c r="AE68" s="320">
        <f>Rotation_Hide!$H$13</f>
        <v>2229.92</v>
      </c>
      <c r="AF68" s="173">
        <f>Rotation_Hide!$I$13</f>
        <v>457.01000000000005</v>
      </c>
      <c r="AG68" s="173">
        <f>Rotation_Hide!$J$13</f>
        <v>243.32000000000002</v>
      </c>
      <c r="AH68" s="321">
        <f>Rotation_Hide!$K$13</f>
        <v>286.45776478232619</v>
      </c>
      <c r="AI68" s="320">
        <f>Rotation_Hide!$H$13</f>
        <v>2229.92</v>
      </c>
      <c r="AJ68" s="173">
        <f>Rotation_Hide!$I$13</f>
        <v>457.01000000000005</v>
      </c>
      <c r="AK68" s="173">
        <f>Rotation_Hide!$J$13</f>
        <v>243.32000000000002</v>
      </c>
      <c r="AL68" s="321">
        <f>Rotation_Hide!$K$13</f>
        <v>286.45776478232619</v>
      </c>
      <c r="AM68" s="268"/>
      <c r="AN68" s="202"/>
    </row>
    <row r="69" spans="1:61" s="5" customFormat="1" ht="15.75" x14ac:dyDescent="0.2">
      <c r="A69" s="47"/>
      <c r="B69" s="72" t="s">
        <v>268</v>
      </c>
      <c r="C69" s="322"/>
      <c r="D69" s="323"/>
      <c r="E69" s="322"/>
      <c r="F69" s="323"/>
      <c r="G69" s="322"/>
      <c r="H69" s="323"/>
      <c r="I69" s="322"/>
      <c r="J69" s="323"/>
      <c r="K69" s="322"/>
      <c r="L69" s="323"/>
      <c r="M69" s="322"/>
      <c r="N69" s="323"/>
      <c r="O69" s="322"/>
      <c r="P69" s="174"/>
      <c r="Q69" s="323"/>
      <c r="R69" s="322"/>
      <c r="S69" s="174"/>
      <c r="T69" s="323"/>
      <c r="U69" s="322"/>
      <c r="V69" s="174"/>
      <c r="W69" s="323"/>
      <c r="X69" s="322"/>
      <c r="Y69" s="174"/>
      <c r="Z69" s="323"/>
      <c r="AA69" s="322"/>
      <c r="AB69" s="174"/>
      <c r="AC69" s="174"/>
      <c r="AD69" s="323"/>
      <c r="AE69" s="322"/>
      <c r="AF69" s="174"/>
      <c r="AG69" s="174"/>
      <c r="AH69" s="323"/>
      <c r="AI69" s="322"/>
      <c r="AJ69" s="174"/>
      <c r="AK69" s="174"/>
      <c r="AL69" s="323"/>
      <c r="AM69" s="268"/>
      <c r="AN69" s="202"/>
    </row>
    <row r="70" spans="1:61" ht="15.75" x14ac:dyDescent="0.2">
      <c r="A70" s="268"/>
      <c r="B70" s="188" t="s">
        <v>269</v>
      </c>
      <c r="C70" s="377">
        <f>SUM(C67:C69)</f>
        <v>4207.41</v>
      </c>
      <c r="D70" s="378">
        <f t="shared" ref="D70:N70" si="31">SUM(D67:D69)</f>
        <v>846.73</v>
      </c>
      <c r="E70" s="377">
        <f t="shared" si="31"/>
        <v>4207.41</v>
      </c>
      <c r="F70" s="378">
        <f t="shared" si="31"/>
        <v>846.73</v>
      </c>
      <c r="G70" s="377">
        <f t="shared" si="31"/>
        <v>4207.41</v>
      </c>
      <c r="H70" s="378">
        <f t="shared" si="31"/>
        <v>846.73</v>
      </c>
      <c r="I70" s="377">
        <f t="shared" si="31"/>
        <v>4207.41</v>
      </c>
      <c r="J70" s="378">
        <f t="shared" si="31"/>
        <v>846.73</v>
      </c>
      <c r="K70" s="377">
        <f t="shared" si="31"/>
        <v>4207.41</v>
      </c>
      <c r="L70" s="378">
        <f t="shared" si="31"/>
        <v>846.73</v>
      </c>
      <c r="M70" s="377">
        <f t="shared" si="31"/>
        <v>4207.41</v>
      </c>
      <c r="N70" s="378">
        <f t="shared" si="31"/>
        <v>846.73</v>
      </c>
      <c r="O70" s="377">
        <f t="shared" ref="O70:AL70" si="32">SUM(O67:O69)</f>
        <v>4207.41</v>
      </c>
      <c r="P70" s="379">
        <f t="shared" si="32"/>
        <v>409.82</v>
      </c>
      <c r="Q70" s="378">
        <f t="shared" si="32"/>
        <v>499.65776478232618</v>
      </c>
      <c r="R70" s="377">
        <f t="shared" si="32"/>
        <v>4207.41</v>
      </c>
      <c r="S70" s="379">
        <f t="shared" si="32"/>
        <v>409.82</v>
      </c>
      <c r="T70" s="378">
        <f t="shared" si="32"/>
        <v>499.65776478232618</v>
      </c>
      <c r="U70" s="377">
        <f t="shared" si="32"/>
        <v>4207.41</v>
      </c>
      <c r="V70" s="379">
        <f t="shared" si="32"/>
        <v>409.82</v>
      </c>
      <c r="W70" s="378">
        <f t="shared" si="32"/>
        <v>499.65776478232618</v>
      </c>
      <c r="X70" s="377">
        <f t="shared" si="32"/>
        <v>4207.41</v>
      </c>
      <c r="Y70" s="379">
        <f t="shared" si="32"/>
        <v>409.82</v>
      </c>
      <c r="Z70" s="378">
        <f t="shared" si="32"/>
        <v>499.65776478232618</v>
      </c>
      <c r="AA70" s="377">
        <f t="shared" si="32"/>
        <v>4207.41</v>
      </c>
      <c r="AB70" s="379">
        <f t="shared" si="32"/>
        <v>846.73</v>
      </c>
      <c r="AC70" s="379">
        <f t="shared" si="32"/>
        <v>534.97</v>
      </c>
      <c r="AD70" s="378">
        <f t="shared" si="32"/>
        <v>499.65776478232618</v>
      </c>
      <c r="AE70" s="377">
        <f t="shared" si="32"/>
        <v>4207.41</v>
      </c>
      <c r="AF70" s="379">
        <f t="shared" si="32"/>
        <v>846.73</v>
      </c>
      <c r="AG70" s="379">
        <f t="shared" si="32"/>
        <v>534.97</v>
      </c>
      <c r="AH70" s="378">
        <f t="shared" si="32"/>
        <v>499.65776478232618</v>
      </c>
      <c r="AI70" s="377">
        <f t="shared" si="32"/>
        <v>4207.41</v>
      </c>
      <c r="AJ70" s="379">
        <f t="shared" si="32"/>
        <v>846.73</v>
      </c>
      <c r="AK70" s="379">
        <f t="shared" si="32"/>
        <v>534.97</v>
      </c>
      <c r="AL70" s="378">
        <f t="shared" si="32"/>
        <v>499.65776478232618</v>
      </c>
      <c r="AM70" s="268"/>
      <c r="AN70" s="202"/>
      <c r="AO70" s="340"/>
      <c r="AP70" s="340"/>
      <c r="AQ70" s="340"/>
      <c r="AR70" s="340"/>
      <c r="AS70" s="340"/>
      <c r="AT70" s="340"/>
      <c r="AU70" s="340"/>
      <c r="AV70" s="340"/>
      <c r="AW70" s="340"/>
      <c r="AX70" s="340"/>
      <c r="AY70" s="340"/>
      <c r="AZ70" s="340"/>
      <c r="BA70" s="340"/>
      <c r="BB70" s="340"/>
      <c r="BC70" s="340"/>
      <c r="BD70" s="340"/>
      <c r="BE70" s="340"/>
      <c r="BF70" s="340"/>
      <c r="BG70" s="340"/>
      <c r="BH70" s="340"/>
      <c r="BI70" s="340"/>
    </row>
    <row r="71" spans="1:61" s="5" customFormat="1" ht="15.75" x14ac:dyDescent="0.2">
      <c r="A71" s="47"/>
      <c r="B71" s="186" t="s">
        <v>270</v>
      </c>
      <c r="C71" s="320">
        <f>Rotation_Hide!$C$15*(1+$C$55)</f>
        <v>5718.4000000000005</v>
      </c>
      <c r="D71" s="321">
        <f>Rotation_Hide!$D$15*(1+$D$55)</f>
        <v>1158.635</v>
      </c>
      <c r="E71" s="320">
        <f>Rotation_Hide!$C$15*(1+$E$55)</f>
        <v>5718.4000000000005</v>
      </c>
      <c r="F71" s="321">
        <f>Rotation_Hide!$D$15*(1+$F$55)</f>
        <v>1158.635</v>
      </c>
      <c r="G71" s="320">
        <f>Rotation_Hide!$C$15*(1+$G$55)</f>
        <v>5718.4000000000005</v>
      </c>
      <c r="H71" s="321">
        <f>Rotation_Hide!$D$15*(1+$H$55)</f>
        <v>1158.635</v>
      </c>
      <c r="I71" s="320">
        <f>Rotation_Hide!$C$15*(1+$I$55)</f>
        <v>5718.4000000000005</v>
      </c>
      <c r="J71" s="321">
        <f>Rotation_Hide!$D$15*(1+$J$55)</f>
        <v>1158.635</v>
      </c>
      <c r="K71" s="320">
        <f>Rotation_Hide!$C$15*(1+$K$55)</f>
        <v>5718.4000000000005</v>
      </c>
      <c r="L71" s="321">
        <f>Rotation_Hide!$D$15*(1+L55)</f>
        <v>1158.635</v>
      </c>
      <c r="M71" s="320">
        <f>Rotation_Hide!$C$15*(1+N55)</f>
        <v>5718.4000000000005</v>
      </c>
      <c r="N71" s="321">
        <f>Rotation_Hide!$D$15*(1+N55)</f>
        <v>1158.635</v>
      </c>
      <c r="O71" s="320">
        <f>Rotation_Hide!$E$15*(1+O55)</f>
        <v>5718.4000000000005</v>
      </c>
      <c r="P71" s="173">
        <f>Rotation_Hide!F15*(1+P55)</f>
        <v>625.6</v>
      </c>
      <c r="Q71" s="321">
        <f>Rotation_Hide!G15*(1+Q55)</f>
        <v>108</v>
      </c>
      <c r="R71" s="320">
        <f>Rotation_Hide!$E$15*(1+R55)</f>
        <v>5718.4000000000005</v>
      </c>
      <c r="S71" s="173">
        <f>Rotation_Hide!$F$15*(1+S55)</f>
        <v>625.6</v>
      </c>
      <c r="T71" s="321">
        <f>Rotation_Hide!$G$15*(1+T55)</f>
        <v>108</v>
      </c>
      <c r="U71" s="320">
        <f>Rotation_Hide!$E$15*(1+U55)</f>
        <v>5718.4000000000005</v>
      </c>
      <c r="V71" s="173">
        <f>Rotation_Hide!$F$15*(1+V55)</f>
        <v>625.6</v>
      </c>
      <c r="W71" s="321">
        <f>Rotation_Hide!$G$15*(1+W55)</f>
        <v>108</v>
      </c>
      <c r="X71" s="320">
        <f>Rotation_Hide!$E$15*(1+X55)</f>
        <v>5718.4000000000005</v>
      </c>
      <c r="Y71" s="173">
        <f>Rotation_Hide!$F$15*(1+Y55)</f>
        <v>625.6</v>
      </c>
      <c r="Z71" s="321">
        <f>Rotation_Hide!$G$15*(1+Z55)</f>
        <v>108</v>
      </c>
      <c r="AA71" s="320">
        <f>Rotation_Hide!$H$15*(1+AA55)</f>
        <v>5718.4000000000005</v>
      </c>
      <c r="AB71" s="173">
        <f>Rotation_Hide!I15*(1+AB55)</f>
        <v>1158.635</v>
      </c>
      <c r="AC71" s="173">
        <f>Rotation_Hide!J15*(1+AC55)</f>
        <v>820.05000000000007</v>
      </c>
      <c r="AD71" s="321">
        <f>Rotation_Hide!K15*(1+AD55)</f>
        <v>108</v>
      </c>
      <c r="AE71" s="320">
        <f>Rotation_Hide!$H$15*(1+AE55)</f>
        <v>5718.4000000000005</v>
      </c>
      <c r="AF71" s="173">
        <f>Rotation_Hide!$I$15*(1+AF55)</f>
        <v>1158.635</v>
      </c>
      <c r="AG71" s="173">
        <f>Rotation_Hide!$J$15*(1+AG55)</f>
        <v>820.05000000000007</v>
      </c>
      <c r="AH71" s="321">
        <f>Rotation_Hide!$K$15*(1+AH55)</f>
        <v>108</v>
      </c>
      <c r="AI71" s="320">
        <f>Rotation_Hide!$H$15*(1+AI55)</f>
        <v>5718.4000000000005</v>
      </c>
      <c r="AJ71" s="173">
        <f>Rotation_Hide!$I$15*(1+AJ55)</f>
        <v>1158.635</v>
      </c>
      <c r="AK71" s="173">
        <f>Rotation_Hide!$J$15*(1+AK55)</f>
        <v>820.05000000000007</v>
      </c>
      <c r="AL71" s="321">
        <f>Rotation_Hide!$K$15*(1+AL55)</f>
        <v>108</v>
      </c>
      <c r="AM71" s="268"/>
      <c r="AN71" s="202"/>
    </row>
    <row r="72" spans="1:61" s="5" customFormat="1" ht="15.75" x14ac:dyDescent="0.2">
      <c r="A72" s="47"/>
      <c r="B72" s="186" t="s">
        <v>271</v>
      </c>
      <c r="C72" s="320">
        <f>Rotation_Hide!$C$16</f>
        <v>0</v>
      </c>
      <c r="D72" s="321">
        <f>Rotation_Hide!$D$16</f>
        <v>0</v>
      </c>
      <c r="E72" s="320">
        <f>Rotation_Hide!$C$16</f>
        <v>0</v>
      </c>
      <c r="F72" s="321">
        <f>Rotation_Hide!$D$16</f>
        <v>0</v>
      </c>
      <c r="G72" s="320">
        <f>Rotation_Hide!$C$16</f>
        <v>0</v>
      </c>
      <c r="H72" s="321">
        <f>Rotation_Hide!$D$16</f>
        <v>0</v>
      </c>
      <c r="I72" s="320">
        <f>Rotation_Hide!$C$16</f>
        <v>0</v>
      </c>
      <c r="J72" s="321">
        <f>Rotation_Hide!$D$16</f>
        <v>0</v>
      </c>
      <c r="K72" s="320">
        <f>Rotation_Hide!$C$16</f>
        <v>0</v>
      </c>
      <c r="L72" s="321">
        <f>Rotation_Hide!$D$16</f>
        <v>0</v>
      </c>
      <c r="M72" s="320">
        <f>Rotation_Hide!$C$16</f>
        <v>0</v>
      </c>
      <c r="N72" s="321">
        <f>Rotation_Hide!$D$16</f>
        <v>0</v>
      </c>
      <c r="O72" s="320">
        <f>Rotation_Hide!$E$16</f>
        <v>0</v>
      </c>
      <c r="P72" s="173">
        <f>Rotation_Hide!F16</f>
        <v>0</v>
      </c>
      <c r="Q72" s="321">
        <f>Rotation_Hide!G16</f>
        <v>0</v>
      </c>
      <c r="R72" s="320">
        <f>Rotation_Hide!E16</f>
        <v>0</v>
      </c>
      <c r="S72" s="173">
        <f>Rotation_Hide!F16</f>
        <v>0</v>
      </c>
      <c r="T72" s="321">
        <f>Rotation_Hide!G16</f>
        <v>0</v>
      </c>
      <c r="U72" s="320">
        <f>Rotation_Hide!E16</f>
        <v>0</v>
      </c>
      <c r="V72" s="173">
        <f>Rotation_Hide!F16</f>
        <v>0</v>
      </c>
      <c r="W72" s="321">
        <f>Rotation_Hide!G16</f>
        <v>0</v>
      </c>
      <c r="X72" s="320">
        <f>Rotation_Hide!E16</f>
        <v>0</v>
      </c>
      <c r="Y72" s="173">
        <f>Rotation_Hide!F16</f>
        <v>0</v>
      </c>
      <c r="Z72" s="321">
        <f>Rotation_Hide!G16</f>
        <v>0</v>
      </c>
      <c r="AA72" s="320">
        <f>Rotation_Hide!$H$16</f>
        <v>0</v>
      </c>
      <c r="AB72" s="173">
        <f>Rotation_Hide!I16</f>
        <v>0</v>
      </c>
      <c r="AC72" s="173">
        <f>Rotation_Hide!J16</f>
        <v>0</v>
      </c>
      <c r="AD72" s="321">
        <f>Rotation_Hide!K16</f>
        <v>0</v>
      </c>
      <c r="AE72" s="320">
        <f>Rotation_Hide!H16</f>
        <v>0</v>
      </c>
      <c r="AF72" s="173">
        <f>Rotation_Hide!I16</f>
        <v>0</v>
      </c>
      <c r="AG72" s="173">
        <f>Rotation_Hide!J16</f>
        <v>0</v>
      </c>
      <c r="AH72" s="321">
        <f>Rotation_Hide!K16</f>
        <v>0</v>
      </c>
      <c r="AI72" s="320">
        <f>Rotation_Hide!H16</f>
        <v>0</v>
      </c>
      <c r="AJ72" s="173">
        <f>Rotation_Hide!I16</f>
        <v>0</v>
      </c>
      <c r="AK72" s="173">
        <f>Rotation_Hide!J16</f>
        <v>0</v>
      </c>
      <c r="AL72" s="321">
        <f>Rotation_Hide!K16</f>
        <v>0</v>
      </c>
      <c r="AM72" s="268"/>
      <c r="AN72" s="202"/>
    </row>
    <row r="73" spans="1:61" ht="15.75" x14ac:dyDescent="0.2">
      <c r="A73" s="268"/>
      <c r="B73" s="188" t="s">
        <v>272</v>
      </c>
      <c r="C73" s="377">
        <f>SUM(C71:C72)</f>
        <v>5718.4000000000005</v>
      </c>
      <c r="D73" s="378">
        <f t="shared" ref="D73:N73" si="33">SUM(D71:D72)</f>
        <v>1158.635</v>
      </c>
      <c r="E73" s="377">
        <f t="shared" si="33"/>
        <v>5718.4000000000005</v>
      </c>
      <c r="F73" s="378">
        <f t="shared" si="33"/>
        <v>1158.635</v>
      </c>
      <c r="G73" s="377">
        <f t="shared" si="33"/>
        <v>5718.4000000000005</v>
      </c>
      <c r="H73" s="378">
        <f t="shared" si="33"/>
        <v>1158.635</v>
      </c>
      <c r="I73" s="377">
        <f t="shared" si="33"/>
        <v>5718.4000000000005</v>
      </c>
      <c r="J73" s="378">
        <f t="shared" si="33"/>
        <v>1158.635</v>
      </c>
      <c r="K73" s="377">
        <f t="shared" si="33"/>
        <v>5718.4000000000005</v>
      </c>
      <c r="L73" s="378">
        <f t="shared" si="33"/>
        <v>1158.635</v>
      </c>
      <c r="M73" s="377">
        <f t="shared" si="33"/>
        <v>5718.4000000000005</v>
      </c>
      <c r="N73" s="378">
        <f t="shared" si="33"/>
        <v>1158.635</v>
      </c>
      <c r="O73" s="377">
        <f>SUM(O71:O72)</f>
        <v>5718.4000000000005</v>
      </c>
      <c r="P73" s="379">
        <f t="shared" ref="P73:AL73" si="34">SUM(P71:P72)</f>
        <v>625.6</v>
      </c>
      <c r="Q73" s="378">
        <f t="shared" si="34"/>
        <v>108</v>
      </c>
      <c r="R73" s="377">
        <f t="shared" si="34"/>
        <v>5718.4000000000005</v>
      </c>
      <c r="S73" s="379">
        <f t="shared" si="34"/>
        <v>625.6</v>
      </c>
      <c r="T73" s="378">
        <f t="shared" si="34"/>
        <v>108</v>
      </c>
      <c r="U73" s="377">
        <f t="shared" si="34"/>
        <v>5718.4000000000005</v>
      </c>
      <c r="V73" s="379">
        <f t="shared" si="34"/>
        <v>625.6</v>
      </c>
      <c r="W73" s="378">
        <f t="shared" si="34"/>
        <v>108</v>
      </c>
      <c r="X73" s="377">
        <f t="shared" si="34"/>
        <v>5718.4000000000005</v>
      </c>
      <c r="Y73" s="379">
        <f t="shared" si="34"/>
        <v>625.6</v>
      </c>
      <c r="Z73" s="378">
        <f t="shared" si="34"/>
        <v>108</v>
      </c>
      <c r="AA73" s="377">
        <f t="shared" si="34"/>
        <v>5718.4000000000005</v>
      </c>
      <c r="AB73" s="379">
        <f t="shared" si="34"/>
        <v>1158.635</v>
      </c>
      <c r="AC73" s="379">
        <f t="shared" si="34"/>
        <v>820.05000000000007</v>
      </c>
      <c r="AD73" s="378">
        <f t="shared" si="34"/>
        <v>108</v>
      </c>
      <c r="AE73" s="377">
        <f t="shared" si="34"/>
        <v>5718.4000000000005</v>
      </c>
      <c r="AF73" s="379">
        <f t="shared" si="34"/>
        <v>1158.635</v>
      </c>
      <c r="AG73" s="379">
        <f t="shared" si="34"/>
        <v>820.05000000000007</v>
      </c>
      <c r="AH73" s="378">
        <f t="shared" si="34"/>
        <v>108</v>
      </c>
      <c r="AI73" s="377">
        <f t="shared" si="34"/>
        <v>5718.4000000000005</v>
      </c>
      <c r="AJ73" s="379">
        <f t="shared" si="34"/>
        <v>1158.635</v>
      </c>
      <c r="AK73" s="379">
        <f t="shared" si="34"/>
        <v>820.05000000000007</v>
      </c>
      <c r="AL73" s="378">
        <f t="shared" si="34"/>
        <v>108</v>
      </c>
      <c r="AM73" s="268"/>
      <c r="AN73" s="202"/>
      <c r="AO73" s="340"/>
      <c r="AP73" s="340"/>
      <c r="AQ73" s="340"/>
      <c r="AR73" s="340"/>
      <c r="AS73" s="340"/>
      <c r="AT73" s="340"/>
      <c r="AU73" s="340"/>
      <c r="AV73" s="340"/>
      <c r="AW73" s="340"/>
      <c r="AX73" s="340"/>
      <c r="AY73" s="340"/>
      <c r="AZ73" s="340"/>
      <c r="BA73" s="340"/>
      <c r="BB73" s="340"/>
      <c r="BC73" s="340"/>
      <c r="BD73" s="340"/>
      <c r="BE73" s="340"/>
      <c r="BF73" s="340"/>
      <c r="BG73" s="340"/>
      <c r="BH73" s="340"/>
      <c r="BI73" s="340"/>
    </row>
    <row r="74" spans="1:61" ht="15.75" x14ac:dyDescent="0.2">
      <c r="A74" s="268"/>
      <c r="B74" s="189" t="s">
        <v>273</v>
      </c>
      <c r="C74" s="324">
        <f>SUM(C73-C70)</f>
        <v>1510.9900000000007</v>
      </c>
      <c r="D74" s="325">
        <f t="shared" ref="D74:N74" si="35">SUM(D73-D70)</f>
        <v>311.90499999999997</v>
      </c>
      <c r="E74" s="324">
        <f t="shared" si="35"/>
        <v>1510.9900000000007</v>
      </c>
      <c r="F74" s="325">
        <f t="shared" si="35"/>
        <v>311.90499999999997</v>
      </c>
      <c r="G74" s="324">
        <f t="shared" si="35"/>
        <v>1510.9900000000007</v>
      </c>
      <c r="H74" s="325">
        <f t="shared" si="35"/>
        <v>311.90499999999997</v>
      </c>
      <c r="I74" s="324">
        <f t="shared" si="35"/>
        <v>1510.9900000000007</v>
      </c>
      <c r="J74" s="325">
        <f t="shared" si="35"/>
        <v>311.90499999999997</v>
      </c>
      <c r="K74" s="324">
        <f t="shared" si="35"/>
        <v>1510.9900000000007</v>
      </c>
      <c r="L74" s="325">
        <f t="shared" si="35"/>
        <v>311.90499999999997</v>
      </c>
      <c r="M74" s="324">
        <f t="shared" si="35"/>
        <v>1510.9900000000007</v>
      </c>
      <c r="N74" s="325">
        <f t="shared" si="35"/>
        <v>311.90499999999997</v>
      </c>
      <c r="O74" s="324">
        <f>SUM(O73-O70)</f>
        <v>1510.9900000000007</v>
      </c>
      <c r="P74" s="175">
        <f t="shared" ref="P74:AL74" si="36">SUM(P73-P70)</f>
        <v>215.78000000000003</v>
      </c>
      <c r="Q74" s="325">
        <f t="shared" si="36"/>
        <v>-391.65776478232618</v>
      </c>
      <c r="R74" s="324">
        <f t="shared" si="36"/>
        <v>1510.9900000000007</v>
      </c>
      <c r="S74" s="175">
        <f t="shared" si="36"/>
        <v>215.78000000000003</v>
      </c>
      <c r="T74" s="325">
        <f t="shared" si="36"/>
        <v>-391.65776478232618</v>
      </c>
      <c r="U74" s="324">
        <f t="shared" si="36"/>
        <v>1510.9900000000007</v>
      </c>
      <c r="V74" s="175">
        <f t="shared" si="36"/>
        <v>215.78000000000003</v>
      </c>
      <c r="W74" s="325">
        <f t="shared" si="36"/>
        <v>-391.65776478232618</v>
      </c>
      <c r="X74" s="324">
        <f t="shared" si="36"/>
        <v>1510.9900000000007</v>
      </c>
      <c r="Y74" s="175">
        <f t="shared" si="36"/>
        <v>215.78000000000003</v>
      </c>
      <c r="Z74" s="325">
        <f t="shared" si="36"/>
        <v>-391.65776478232618</v>
      </c>
      <c r="AA74" s="324">
        <f t="shared" si="36"/>
        <v>1510.9900000000007</v>
      </c>
      <c r="AB74" s="175">
        <f t="shared" si="36"/>
        <v>311.90499999999997</v>
      </c>
      <c r="AC74" s="175">
        <f t="shared" si="36"/>
        <v>285.08000000000004</v>
      </c>
      <c r="AD74" s="325">
        <f t="shared" si="36"/>
        <v>-391.65776478232618</v>
      </c>
      <c r="AE74" s="324">
        <f t="shared" si="36"/>
        <v>1510.9900000000007</v>
      </c>
      <c r="AF74" s="175">
        <f t="shared" si="36"/>
        <v>311.90499999999997</v>
      </c>
      <c r="AG74" s="175">
        <f t="shared" si="36"/>
        <v>285.08000000000004</v>
      </c>
      <c r="AH74" s="325">
        <f t="shared" si="36"/>
        <v>-391.65776478232618</v>
      </c>
      <c r="AI74" s="324">
        <f t="shared" si="36"/>
        <v>1510.9900000000007</v>
      </c>
      <c r="AJ74" s="175">
        <f t="shared" si="36"/>
        <v>311.90499999999997</v>
      </c>
      <c r="AK74" s="175">
        <f t="shared" si="36"/>
        <v>285.08000000000004</v>
      </c>
      <c r="AL74" s="325">
        <f t="shared" si="36"/>
        <v>-391.65776478232618</v>
      </c>
      <c r="AM74" s="268"/>
      <c r="AN74" s="202"/>
      <c r="AO74" s="340"/>
      <c r="AP74" s="340"/>
      <c r="AQ74" s="340"/>
      <c r="AR74" s="340"/>
      <c r="AS74" s="340"/>
      <c r="AT74" s="340"/>
      <c r="AU74" s="340"/>
      <c r="AV74" s="340"/>
      <c r="AW74" s="340"/>
      <c r="AX74" s="340"/>
      <c r="AY74" s="340"/>
      <c r="AZ74" s="340"/>
      <c r="BA74" s="340"/>
      <c r="BB74" s="340"/>
      <c r="BC74" s="340"/>
      <c r="BD74" s="340"/>
      <c r="BE74" s="340"/>
      <c r="BF74" s="340"/>
      <c r="BG74" s="340"/>
      <c r="BH74" s="340"/>
      <c r="BI74" s="340"/>
    </row>
    <row r="75" spans="1:61" s="5" customFormat="1" ht="15.75" x14ac:dyDescent="0.2">
      <c r="A75" s="47"/>
      <c r="B75" s="186" t="s">
        <v>274</v>
      </c>
      <c r="C75" s="326">
        <f>NPV($C$89,$C$74)</f>
        <v>1440.3829906542062</v>
      </c>
      <c r="D75" s="327">
        <f>NPV($C$89,$C$74:D74)</f>
        <v>1723.8190654205612</v>
      </c>
      <c r="E75" s="326">
        <f>NPV($C$89,$C$74:E74)</f>
        <v>3032.7320390223044</v>
      </c>
      <c r="F75" s="327">
        <f>NPV($C$89,$C$74:F74)</f>
        <v>3290.2976711184842</v>
      </c>
      <c r="G75" s="326">
        <f>NPV($C$89,$C$74:G74)</f>
        <v>4479.740467638052</v>
      </c>
      <c r="H75" s="327">
        <f>NPV($C$89,$C$74:H74)</f>
        <v>4713.7969648280823</v>
      </c>
      <c r="I75" s="326">
        <f>NPV($C$89,$C$74:I74)</f>
        <v>5794.6741466771155</v>
      </c>
      <c r="J75" s="327">
        <f>NPV($C$89,$C$74:J74)</f>
        <v>6007.3672899005469</v>
      </c>
      <c r="K75" s="326">
        <f>NPV($C$89,$C$74:K74)</f>
        <v>6989.5881126761033</v>
      </c>
      <c r="L75" s="327">
        <f>NPV($C$89,$C$74:L74)</f>
        <v>7182.8678281182019</v>
      </c>
      <c r="M75" s="326">
        <f>NPV($C$89,$C$74:M74)</f>
        <v>8075.4370865824239</v>
      </c>
      <c r="N75" s="327">
        <f>NPV($C$89,$C$74:N74)</f>
        <v>8251.0753221889918</v>
      </c>
      <c r="O75" s="326">
        <f>NPV($C$89,$O$74)</f>
        <v>1440.3829906542062</v>
      </c>
      <c r="P75" s="349">
        <f>NPV($C$89,$O$74:P74)</f>
        <v>1636.4678120359863</v>
      </c>
      <c r="Q75" s="327">
        <f>NPV($C$89,$O$74:Q74)</f>
        <v>1297.1896371073326</v>
      </c>
      <c r="R75" s="326">
        <f>NPV($C$89,$O$74:R74)</f>
        <v>2544.9384530641346</v>
      </c>
      <c r="S75" s="176">
        <f>NPV($C$89,$O$74:S74)</f>
        <v>2714.7992507087201</v>
      </c>
      <c r="T75" s="327">
        <f>NPV($C$89,$O$74:T74)</f>
        <v>2420.8955155258027</v>
      </c>
      <c r="U75" s="326">
        <f>NPV($C$89,$O$74:U74)</f>
        <v>3501.7726973748363</v>
      </c>
      <c r="V75" s="176">
        <f>NPV($C$89,$O$74:V74)</f>
        <v>3648.9166240344025</v>
      </c>
      <c r="W75" s="327">
        <f>NPV($C$89,$O$74:W74)</f>
        <v>3394.3190343938809</v>
      </c>
      <c r="X75" s="326">
        <f>NPV($C$89,$O$74:X74)</f>
        <v>4330.6416878808595</v>
      </c>
      <c r="Y75" s="176">
        <f>NPV($C$89,$O$74:Y74)</f>
        <v>4458.1068561423372</v>
      </c>
      <c r="Z75" s="327">
        <f>NPV($C$89,$O$74:Z74)</f>
        <v>4237.5586803581091</v>
      </c>
      <c r="AA75" s="326">
        <f>NPV($C$89,$AA$74)</f>
        <v>1440.3829906542062</v>
      </c>
      <c r="AB75" s="176">
        <f>NPV($C$89,$AA$74:AB74)</f>
        <v>1723.8190654205612</v>
      </c>
      <c r="AC75" s="176">
        <f>NPV($C$89,$AA$74:AC74)</f>
        <v>1970.7729900093304</v>
      </c>
      <c r="AD75" s="327">
        <f>NPV($C$89,$AA$74:AD74)</f>
        <v>1647.3489354044457</v>
      </c>
      <c r="AE75" s="326">
        <f>NPV($C$89,$AA$74:AE74)</f>
        <v>2836.7917319240141</v>
      </c>
      <c r="AF75" s="176">
        <f>NPV($C$89,$AA$74:AF74)</f>
        <v>3070.8482291140435</v>
      </c>
      <c r="AG75" s="176">
        <f>NPV($C$89,$AA$74:AG74)</f>
        <v>3274.7784119752951</v>
      </c>
      <c r="AH75" s="327">
        <f>NPV($C$89,$AA$74:AH74)</f>
        <v>3007.7005483327871</v>
      </c>
      <c r="AI75" s="326">
        <f>NPV($C$89,$AA$74:AI74)</f>
        <v>3989.9213711083435</v>
      </c>
      <c r="AJ75" s="176">
        <f>NPV($C$89,$AA$74:AJ74)</f>
        <v>4183.2010865504417</v>
      </c>
      <c r="AK75" s="176">
        <f>NPV($C$89,$AA$74:AK74)</f>
        <v>4351.6030244871463</v>
      </c>
      <c r="AL75" s="327">
        <f>NPV($C$89,$AA$74:AL74)</f>
        <v>4131.0548487029182</v>
      </c>
      <c r="AM75" s="268"/>
      <c r="AN75" s="202"/>
    </row>
    <row r="76" spans="1:61" s="32" customFormat="1" ht="15.75" x14ac:dyDescent="0.2">
      <c r="A76" s="47"/>
      <c r="B76" s="186" t="s">
        <v>275</v>
      </c>
      <c r="C76" s="328">
        <f>NPV($C$89,C77:N77)/C95</f>
        <v>0.83557666784639895</v>
      </c>
      <c r="D76" s="329">
        <f>NPV($C$89,C78:N78)/C95</f>
        <v>0.16442333215360103</v>
      </c>
      <c r="E76" s="334"/>
      <c r="F76" s="335"/>
      <c r="G76" s="334"/>
      <c r="H76" s="335"/>
      <c r="I76" s="334"/>
      <c r="J76" s="335"/>
      <c r="K76" s="334"/>
      <c r="L76" s="335"/>
      <c r="M76" s="334"/>
      <c r="N76" s="335"/>
      <c r="O76" s="328">
        <f>NPV($C89,O77:Z77)/D95</f>
        <v>1.1103873708598131</v>
      </c>
      <c r="P76" s="177">
        <f>NPV($C$89,O78:Z78)/D95</f>
        <v>0.15116126106205979</v>
      </c>
      <c r="Q76" s="329">
        <f>NPV($C$89,O79:Z79)/D95</f>
        <v>-0.261548631921873</v>
      </c>
      <c r="R76" s="334"/>
      <c r="S76" s="178"/>
      <c r="T76" s="335"/>
      <c r="U76" s="334"/>
      <c r="V76" s="178"/>
      <c r="W76" s="335"/>
      <c r="X76" s="334"/>
      <c r="Y76" s="178"/>
      <c r="Z76" s="335"/>
      <c r="AA76" s="328">
        <f>NPV($C$89,AA77:AL77)/E95</f>
        <v>0.87436423437550159</v>
      </c>
      <c r="AB76" s="177">
        <f>NPV($C$89,AA78:AL78)/E95</f>
        <v>0.1720558824392403</v>
      </c>
      <c r="AC76" s="177">
        <f>NPV($C$89,AA79:AL79)/E95</f>
        <v>0.14990990632360415</v>
      </c>
      <c r="AD76" s="329">
        <f>NPV($C$89,AA80:AL80)/E95</f>
        <v>-0.19633002313834616</v>
      </c>
      <c r="AE76" s="334"/>
      <c r="AF76" s="178"/>
      <c r="AG76" s="178"/>
      <c r="AH76" s="335"/>
      <c r="AI76" s="334"/>
      <c r="AJ76" s="178"/>
      <c r="AK76" s="178"/>
      <c r="AL76" s="335"/>
      <c r="AM76" s="268"/>
      <c r="AN76" s="89"/>
    </row>
    <row r="77" spans="1:61" s="32" customFormat="1" hidden="1" x14ac:dyDescent="0.2">
      <c r="A77" s="75"/>
      <c r="B77" s="76" t="s">
        <v>276</v>
      </c>
      <c r="C77" s="283">
        <f>C74</f>
        <v>1510.9900000000007</v>
      </c>
      <c r="D77" s="284">
        <v>0</v>
      </c>
      <c r="E77" s="283">
        <f>E74</f>
        <v>1510.9900000000007</v>
      </c>
      <c r="F77" s="284">
        <v>0</v>
      </c>
      <c r="G77" s="283">
        <f>G74</f>
        <v>1510.9900000000007</v>
      </c>
      <c r="H77" s="284">
        <v>0</v>
      </c>
      <c r="I77" s="283">
        <f>I74</f>
        <v>1510.9900000000007</v>
      </c>
      <c r="J77" s="284">
        <v>0</v>
      </c>
      <c r="K77" s="283">
        <f>K74</f>
        <v>1510.9900000000007</v>
      </c>
      <c r="L77" s="284">
        <v>0</v>
      </c>
      <c r="M77" s="283">
        <f>M74</f>
        <v>1510.9900000000007</v>
      </c>
      <c r="N77" s="284">
        <v>0</v>
      </c>
      <c r="O77" s="283">
        <f>O74</f>
        <v>1510.9900000000007</v>
      </c>
      <c r="P77" s="172">
        <v>0</v>
      </c>
      <c r="Q77" s="284">
        <v>0</v>
      </c>
      <c r="R77" s="283">
        <f>R74</f>
        <v>1510.9900000000007</v>
      </c>
      <c r="S77" s="172">
        <v>0</v>
      </c>
      <c r="T77" s="284">
        <v>0</v>
      </c>
      <c r="U77" s="283">
        <f>U74</f>
        <v>1510.9900000000007</v>
      </c>
      <c r="V77" s="172">
        <v>0</v>
      </c>
      <c r="W77" s="284">
        <v>0</v>
      </c>
      <c r="X77" s="283">
        <f>X74</f>
        <v>1510.9900000000007</v>
      </c>
      <c r="Y77" s="172">
        <v>0</v>
      </c>
      <c r="Z77" s="284">
        <v>0</v>
      </c>
      <c r="AA77" s="283">
        <f>AA74</f>
        <v>1510.9900000000007</v>
      </c>
      <c r="AB77" s="172">
        <v>0</v>
      </c>
      <c r="AC77" s="172">
        <v>0</v>
      </c>
      <c r="AD77" s="284">
        <v>0</v>
      </c>
      <c r="AE77" s="283">
        <f>AE74</f>
        <v>1510.9900000000007</v>
      </c>
      <c r="AF77" s="172">
        <v>0</v>
      </c>
      <c r="AG77" s="172">
        <v>0</v>
      </c>
      <c r="AH77" s="284">
        <v>0</v>
      </c>
      <c r="AI77" s="283">
        <f>AI74</f>
        <v>1510.9900000000007</v>
      </c>
      <c r="AJ77" s="172">
        <v>0</v>
      </c>
      <c r="AK77" s="172">
        <v>0</v>
      </c>
      <c r="AL77" s="284">
        <v>0</v>
      </c>
      <c r="AM77" s="268"/>
      <c r="AN77" s="89"/>
    </row>
    <row r="78" spans="1:61" s="32" customFormat="1" hidden="1" x14ac:dyDescent="0.2">
      <c r="A78" s="75"/>
      <c r="B78" s="76" t="s">
        <v>277</v>
      </c>
      <c r="C78" s="283">
        <v>0</v>
      </c>
      <c r="D78" s="284">
        <f>D74</f>
        <v>311.90499999999997</v>
      </c>
      <c r="E78" s="283">
        <v>0</v>
      </c>
      <c r="F78" s="284">
        <f>F74</f>
        <v>311.90499999999997</v>
      </c>
      <c r="G78" s="283">
        <v>0</v>
      </c>
      <c r="H78" s="284">
        <f>H74</f>
        <v>311.90499999999997</v>
      </c>
      <c r="I78" s="283">
        <v>0</v>
      </c>
      <c r="J78" s="284">
        <f>J74</f>
        <v>311.90499999999997</v>
      </c>
      <c r="K78" s="283">
        <v>0</v>
      </c>
      <c r="L78" s="284">
        <f>L74</f>
        <v>311.90499999999997</v>
      </c>
      <c r="M78" s="283">
        <v>0</v>
      </c>
      <c r="N78" s="284">
        <f>N74</f>
        <v>311.90499999999997</v>
      </c>
      <c r="O78" s="283">
        <v>0</v>
      </c>
      <c r="P78" s="172">
        <f>P74</f>
        <v>215.78000000000003</v>
      </c>
      <c r="Q78" s="284">
        <v>0</v>
      </c>
      <c r="R78" s="283">
        <v>0</v>
      </c>
      <c r="S78" s="172">
        <f>S74</f>
        <v>215.78000000000003</v>
      </c>
      <c r="T78" s="284">
        <v>0</v>
      </c>
      <c r="U78" s="283">
        <v>0</v>
      </c>
      <c r="V78" s="172">
        <f>V74</f>
        <v>215.78000000000003</v>
      </c>
      <c r="W78" s="284">
        <v>0</v>
      </c>
      <c r="X78" s="283">
        <v>0</v>
      </c>
      <c r="Y78" s="172">
        <f>Y74</f>
        <v>215.78000000000003</v>
      </c>
      <c r="Z78" s="284">
        <v>0</v>
      </c>
      <c r="AA78" s="283">
        <v>0</v>
      </c>
      <c r="AB78" s="172">
        <f>AB74</f>
        <v>311.90499999999997</v>
      </c>
      <c r="AC78" s="172">
        <v>0</v>
      </c>
      <c r="AD78" s="284">
        <v>0</v>
      </c>
      <c r="AE78" s="283">
        <v>0</v>
      </c>
      <c r="AF78" s="172">
        <f>AF74</f>
        <v>311.90499999999997</v>
      </c>
      <c r="AG78" s="172">
        <v>0</v>
      </c>
      <c r="AH78" s="284">
        <v>0</v>
      </c>
      <c r="AI78" s="283">
        <v>0</v>
      </c>
      <c r="AJ78" s="172">
        <f>AJ74</f>
        <v>311.90499999999997</v>
      </c>
      <c r="AK78" s="172">
        <v>0</v>
      </c>
      <c r="AL78" s="284">
        <v>0</v>
      </c>
      <c r="AM78" s="268"/>
      <c r="AN78" s="89"/>
    </row>
    <row r="79" spans="1:61" s="32" customFormat="1" hidden="1" x14ac:dyDescent="0.2">
      <c r="A79" s="75"/>
      <c r="B79" s="76" t="s">
        <v>278</v>
      </c>
      <c r="C79" s="283"/>
      <c r="D79" s="284"/>
      <c r="E79" s="283"/>
      <c r="F79" s="284"/>
      <c r="G79" s="283"/>
      <c r="H79" s="284"/>
      <c r="I79" s="283"/>
      <c r="J79" s="284"/>
      <c r="K79" s="283"/>
      <c r="L79" s="284"/>
      <c r="M79" s="283"/>
      <c r="N79" s="284"/>
      <c r="O79" s="283">
        <v>0</v>
      </c>
      <c r="P79" s="172">
        <v>0</v>
      </c>
      <c r="Q79" s="284">
        <f>Q74</f>
        <v>-391.65776478232618</v>
      </c>
      <c r="R79" s="283">
        <v>0</v>
      </c>
      <c r="S79" s="172">
        <v>0</v>
      </c>
      <c r="T79" s="284">
        <f>T74</f>
        <v>-391.65776478232618</v>
      </c>
      <c r="U79" s="283">
        <v>0</v>
      </c>
      <c r="V79" s="172">
        <v>0</v>
      </c>
      <c r="W79" s="284">
        <f>W74</f>
        <v>-391.65776478232618</v>
      </c>
      <c r="X79" s="283">
        <v>0</v>
      </c>
      <c r="Y79" s="172">
        <v>0</v>
      </c>
      <c r="Z79" s="284">
        <f>Z74</f>
        <v>-391.65776478232618</v>
      </c>
      <c r="AA79" s="283">
        <v>0</v>
      </c>
      <c r="AB79" s="172">
        <v>0</v>
      </c>
      <c r="AC79" s="172">
        <f>AC74</f>
        <v>285.08000000000004</v>
      </c>
      <c r="AD79" s="284">
        <v>0</v>
      </c>
      <c r="AE79" s="283">
        <v>0</v>
      </c>
      <c r="AF79" s="172">
        <v>0</v>
      </c>
      <c r="AG79" s="172">
        <f>AG74</f>
        <v>285.08000000000004</v>
      </c>
      <c r="AH79" s="284">
        <v>0</v>
      </c>
      <c r="AI79" s="283">
        <v>0</v>
      </c>
      <c r="AJ79" s="172">
        <v>0</v>
      </c>
      <c r="AK79" s="172">
        <f>AK74</f>
        <v>285.08000000000004</v>
      </c>
      <c r="AL79" s="284">
        <v>0</v>
      </c>
      <c r="AM79" s="268"/>
      <c r="AN79" s="89"/>
    </row>
    <row r="80" spans="1:61" s="32" customFormat="1" hidden="1" x14ac:dyDescent="0.2">
      <c r="A80" s="75"/>
      <c r="B80" s="76" t="s">
        <v>279</v>
      </c>
      <c r="C80" s="283"/>
      <c r="D80" s="284"/>
      <c r="E80" s="283"/>
      <c r="F80" s="284"/>
      <c r="G80" s="283"/>
      <c r="H80" s="284"/>
      <c r="I80" s="283"/>
      <c r="J80" s="284"/>
      <c r="K80" s="283"/>
      <c r="L80" s="284"/>
      <c r="M80" s="283"/>
      <c r="N80" s="284"/>
      <c r="O80" s="283"/>
      <c r="P80" s="172"/>
      <c r="Q80" s="284"/>
      <c r="R80" s="283"/>
      <c r="S80" s="172"/>
      <c r="T80" s="284"/>
      <c r="U80" s="283"/>
      <c r="V80" s="172"/>
      <c r="W80" s="284"/>
      <c r="X80" s="283"/>
      <c r="Y80" s="172"/>
      <c r="Z80" s="284"/>
      <c r="AA80" s="283">
        <v>0</v>
      </c>
      <c r="AB80" s="172">
        <v>0</v>
      </c>
      <c r="AC80" s="172">
        <v>0</v>
      </c>
      <c r="AD80" s="284">
        <f>AD74</f>
        <v>-391.65776478232618</v>
      </c>
      <c r="AE80" s="283">
        <v>0</v>
      </c>
      <c r="AF80" s="172">
        <v>0</v>
      </c>
      <c r="AG80" s="172">
        <v>0</v>
      </c>
      <c r="AH80" s="284">
        <f>AH74</f>
        <v>-391.65776478232618</v>
      </c>
      <c r="AI80" s="283">
        <v>0</v>
      </c>
      <c r="AJ80" s="172">
        <v>0</v>
      </c>
      <c r="AK80" s="172">
        <v>0</v>
      </c>
      <c r="AL80" s="284">
        <f>AL74</f>
        <v>-391.65776478232618</v>
      </c>
      <c r="AM80" s="268"/>
      <c r="AN80" s="89"/>
    </row>
    <row r="81" spans="1:61" s="32" customFormat="1" ht="15.75" x14ac:dyDescent="0.2">
      <c r="A81" s="47"/>
      <c r="B81" s="186" t="str">
        <f>Rotation_Hide!B20</f>
        <v>Nombre d’applications de pesticides</v>
      </c>
      <c r="C81" s="330">
        <f>Rotation_Hide!C20</f>
        <v>15</v>
      </c>
      <c r="D81" s="331">
        <f>Rotation_Hide!D20</f>
        <v>1</v>
      </c>
      <c r="E81" s="330">
        <f>Rotation_Hide!C20</f>
        <v>15</v>
      </c>
      <c r="F81" s="331">
        <f>Rotation_Hide!D20</f>
        <v>1</v>
      </c>
      <c r="G81" s="330">
        <f>Rotation_Hide!C20</f>
        <v>15</v>
      </c>
      <c r="H81" s="331">
        <f>Rotation_Hide!D20</f>
        <v>1</v>
      </c>
      <c r="I81" s="330">
        <f>Rotation_Hide!C20</f>
        <v>15</v>
      </c>
      <c r="J81" s="331">
        <f>Rotation_Hide!D20</f>
        <v>1</v>
      </c>
      <c r="K81" s="330">
        <f>Rotation_Hide!C20</f>
        <v>15</v>
      </c>
      <c r="L81" s="331">
        <f>Rotation_Hide!D20</f>
        <v>1</v>
      </c>
      <c r="M81" s="330">
        <f>Rotation_Hide!C20</f>
        <v>15</v>
      </c>
      <c r="N81" s="331">
        <f>Rotation_Hide!D20</f>
        <v>1</v>
      </c>
      <c r="O81" s="330">
        <f>Rotation_Hide!E20</f>
        <v>15</v>
      </c>
      <c r="P81" s="179">
        <f>Rotation_Hide!F20</f>
        <v>2</v>
      </c>
      <c r="Q81" s="331">
        <f>Rotation_Hide!G20</f>
        <v>0</v>
      </c>
      <c r="R81" s="330">
        <f>Rotation_Hide!E20</f>
        <v>15</v>
      </c>
      <c r="S81" s="179">
        <f>Rotation_Hide!F20</f>
        <v>2</v>
      </c>
      <c r="T81" s="331">
        <f>Rotation_Hide!G20</f>
        <v>0</v>
      </c>
      <c r="U81" s="330">
        <f>Rotation_Hide!E20</f>
        <v>15</v>
      </c>
      <c r="V81" s="179">
        <f>Rotation_Hide!F20</f>
        <v>2</v>
      </c>
      <c r="W81" s="331">
        <f>Rotation_Hide!G20</f>
        <v>0</v>
      </c>
      <c r="X81" s="330">
        <f>Rotation_Hide!E20</f>
        <v>15</v>
      </c>
      <c r="Y81" s="179">
        <f>Rotation_Hide!F20</f>
        <v>2</v>
      </c>
      <c r="Z81" s="331">
        <f>Rotation_Hide!G20</f>
        <v>0</v>
      </c>
      <c r="AA81" s="330">
        <f>Rotation_Hide!H20</f>
        <v>15</v>
      </c>
      <c r="AB81" s="179">
        <f>Rotation_Hide!I20</f>
        <v>1</v>
      </c>
      <c r="AC81" s="179">
        <f>Rotation_Hide!J20</f>
        <v>1</v>
      </c>
      <c r="AD81" s="331">
        <f>Rotation_Hide!K20</f>
        <v>0</v>
      </c>
      <c r="AE81" s="330">
        <f>Rotation_Hide!H20</f>
        <v>15</v>
      </c>
      <c r="AF81" s="179">
        <f>Rotation_Hide!I20</f>
        <v>1</v>
      </c>
      <c r="AG81" s="179">
        <f>Rotation_Hide!J20</f>
        <v>1</v>
      </c>
      <c r="AH81" s="331">
        <f>Rotation_Hide!K20</f>
        <v>0</v>
      </c>
      <c r="AI81" s="330">
        <f>Rotation_Hide!H20</f>
        <v>15</v>
      </c>
      <c r="AJ81" s="179">
        <f>Rotation_Hide!I20</f>
        <v>1</v>
      </c>
      <c r="AK81" s="179">
        <f>Rotation_Hide!J20</f>
        <v>1</v>
      </c>
      <c r="AL81" s="331">
        <f>Rotation_Hide!K20</f>
        <v>0</v>
      </c>
      <c r="AM81" s="268"/>
      <c r="AN81" s="89"/>
    </row>
    <row r="82" spans="1:61" s="32" customFormat="1" ht="15.75" x14ac:dyDescent="0.2">
      <c r="A82" s="47"/>
      <c r="B82" s="446" t="s">
        <v>391</v>
      </c>
      <c r="C82" s="330">
        <f>SUM($C$81:C81)</f>
        <v>15</v>
      </c>
      <c r="D82" s="331">
        <f>SUM($C$81:D81)</f>
        <v>16</v>
      </c>
      <c r="E82" s="330">
        <f>SUM($C$81:E81)</f>
        <v>31</v>
      </c>
      <c r="F82" s="331">
        <f>SUM($C$81:F81)</f>
        <v>32</v>
      </c>
      <c r="G82" s="330">
        <f>SUM($C$81:G81)</f>
        <v>47</v>
      </c>
      <c r="H82" s="331">
        <f>SUM($C$81:H81)</f>
        <v>48</v>
      </c>
      <c r="I82" s="330">
        <f>SUM($C$81:I81)</f>
        <v>63</v>
      </c>
      <c r="J82" s="331">
        <f>SUM($C$81:J81)</f>
        <v>64</v>
      </c>
      <c r="K82" s="330">
        <f>SUM($C$81:K81)</f>
        <v>79</v>
      </c>
      <c r="L82" s="331">
        <f>SUM($C$81:L81)</f>
        <v>80</v>
      </c>
      <c r="M82" s="330">
        <f>SUM($C$81:M81)</f>
        <v>95</v>
      </c>
      <c r="N82" s="331">
        <f>SUM($C$81:N81)</f>
        <v>96</v>
      </c>
      <c r="O82" s="330">
        <f>SUM($O$81:O81)</f>
        <v>15</v>
      </c>
      <c r="P82" s="179">
        <f>SUM($O$81:P81)</f>
        <v>17</v>
      </c>
      <c r="Q82" s="331">
        <f>SUM($O$81:Q81)</f>
        <v>17</v>
      </c>
      <c r="R82" s="330">
        <f>SUM($O$81:R81)</f>
        <v>32</v>
      </c>
      <c r="S82" s="179">
        <f>SUM($O$81:S81)</f>
        <v>34</v>
      </c>
      <c r="T82" s="331">
        <f>SUM($O$81:T81)</f>
        <v>34</v>
      </c>
      <c r="U82" s="330">
        <f>SUM($O$81:U81)</f>
        <v>49</v>
      </c>
      <c r="V82" s="179">
        <f>SUM($O$81:V81)</f>
        <v>51</v>
      </c>
      <c r="W82" s="331">
        <f>SUM($O$81:W81)</f>
        <v>51</v>
      </c>
      <c r="X82" s="330">
        <f>SUM($O$81:X81)</f>
        <v>66</v>
      </c>
      <c r="Y82" s="179">
        <f>SUM($O$81:Y81)</f>
        <v>68</v>
      </c>
      <c r="Z82" s="331">
        <f>SUM($O$81:Z81)</f>
        <v>68</v>
      </c>
      <c r="AA82" s="330">
        <f>SUM($AA$81:AA81)</f>
        <v>15</v>
      </c>
      <c r="AB82" s="179">
        <f>SUM($AA$81:AB81)</f>
        <v>16</v>
      </c>
      <c r="AC82" s="179">
        <f>SUM($AA$81:AC81)</f>
        <v>17</v>
      </c>
      <c r="AD82" s="331">
        <f>SUM($AA$81:AD81)</f>
        <v>17</v>
      </c>
      <c r="AE82" s="330">
        <f>SUM($AA$81:AE81)</f>
        <v>32</v>
      </c>
      <c r="AF82" s="179">
        <f>SUM($AA$81:AF81)</f>
        <v>33</v>
      </c>
      <c r="AG82" s="179">
        <f>SUM($AA$81:AG81)</f>
        <v>34</v>
      </c>
      <c r="AH82" s="331">
        <f>SUM($AA$81:AH81)</f>
        <v>34</v>
      </c>
      <c r="AI82" s="330">
        <f>SUM($AA$81:AI81)</f>
        <v>49</v>
      </c>
      <c r="AJ82" s="179">
        <f>SUM($AA$81:AJ81)</f>
        <v>50</v>
      </c>
      <c r="AK82" s="179">
        <f>SUM($AA$81:AK81)</f>
        <v>51</v>
      </c>
      <c r="AL82" s="331">
        <f>SUM($AA$81:AL81)</f>
        <v>51</v>
      </c>
      <c r="AM82" s="268"/>
      <c r="AN82" s="89"/>
    </row>
    <row r="83" spans="1:61" s="5" customFormat="1" ht="16.5" thickBot="1" x14ac:dyDescent="0.25">
      <c r="A83" s="47"/>
      <c r="B83" s="186" t="s">
        <v>280</v>
      </c>
      <c r="C83" s="332">
        <f>C73/C70</f>
        <v>1.3591259230738151</v>
      </c>
      <c r="D83" s="333">
        <f t="shared" ref="D83:AL83" si="37">D73/D70</f>
        <v>1.3683641774827866</v>
      </c>
      <c r="E83" s="332">
        <f t="shared" si="37"/>
        <v>1.3591259230738151</v>
      </c>
      <c r="F83" s="333">
        <f t="shared" si="37"/>
        <v>1.3683641774827866</v>
      </c>
      <c r="G83" s="332">
        <f t="shared" si="37"/>
        <v>1.3591259230738151</v>
      </c>
      <c r="H83" s="333">
        <f t="shared" si="37"/>
        <v>1.3683641774827866</v>
      </c>
      <c r="I83" s="332">
        <f t="shared" si="37"/>
        <v>1.3591259230738151</v>
      </c>
      <c r="J83" s="333">
        <f t="shared" si="37"/>
        <v>1.3683641774827866</v>
      </c>
      <c r="K83" s="332">
        <f t="shared" si="37"/>
        <v>1.3591259230738151</v>
      </c>
      <c r="L83" s="333">
        <f t="shared" si="37"/>
        <v>1.3683641774827866</v>
      </c>
      <c r="M83" s="332">
        <f t="shared" si="37"/>
        <v>1.3591259230738151</v>
      </c>
      <c r="N83" s="333">
        <f t="shared" si="37"/>
        <v>1.3683641774827866</v>
      </c>
      <c r="O83" s="332">
        <f t="shared" si="37"/>
        <v>1.3591259230738151</v>
      </c>
      <c r="P83" s="336">
        <f t="shared" si="37"/>
        <v>1.5265238397345178</v>
      </c>
      <c r="Q83" s="333">
        <f t="shared" si="37"/>
        <v>0.21614794687929997</v>
      </c>
      <c r="R83" s="332">
        <f t="shared" si="37"/>
        <v>1.3591259230738151</v>
      </c>
      <c r="S83" s="336">
        <f t="shared" si="37"/>
        <v>1.5265238397345178</v>
      </c>
      <c r="T83" s="333">
        <f t="shared" si="37"/>
        <v>0.21614794687929997</v>
      </c>
      <c r="U83" s="332">
        <f t="shared" si="37"/>
        <v>1.3591259230738151</v>
      </c>
      <c r="V83" s="336">
        <f t="shared" si="37"/>
        <v>1.5265238397345178</v>
      </c>
      <c r="W83" s="333">
        <f t="shared" si="37"/>
        <v>0.21614794687929997</v>
      </c>
      <c r="X83" s="332">
        <f t="shared" si="37"/>
        <v>1.3591259230738151</v>
      </c>
      <c r="Y83" s="336">
        <f t="shared" si="37"/>
        <v>1.5265238397345178</v>
      </c>
      <c r="Z83" s="333">
        <f t="shared" si="37"/>
        <v>0.21614794687929997</v>
      </c>
      <c r="AA83" s="332">
        <f t="shared" si="37"/>
        <v>1.3591259230738151</v>
      </c>
      <c r="AB83" s="336">
        <f t="shared" si="37"/>
        <v>1.3683641774827866</v>
      </c>
      <c r="AC83" s="336">
        <f t="shared" si="37"/>
        <v>1.5328896947492383</v>
      </c>
      <c r="AD83" s="333">
        <f t="shared" si="37"/>
        <v>0.21614794687929997</v>
      </c>
      <c r="AE83" s="332">
        <f t="shared" si="37"/>
        <v>1.3591259230738151</v>
      </c>
      <c r="AF83" s="336">
        <f t="shared" si="37"/>
        <v>1.3683641774827866</v>
      </c>
      <c r="AG83" s="336">
        <f t="shared" si="37"/>
        <v>1.5328896947492383</v>
      </c>
      <c r="AH83" s="333">
        <f t="shared" si="37"/>
        <v>0.21614794687929997</v>
      </c>
      <c r="AI83" s="332">
        <f t="shared" si="37"/>
        <v>1.3591259230738151</v>
      </c>
      <c r="AJ83" s="336">
        <f t="shared" si="37"/>
        <v>1.3683641774827866</v>
      </c>
      <c r="AK83" s="336">
        <f t="shared" si="37"/>
        <v>1.5328896947492383</v>
      </c>
      <c r="AL83" s="333">
        <f t="shared" si="37"/>
        <v>0.21614794687929997</v>
      </c>
      <c r="AM83" s="268"/>
      <c r="AN83" s="202"/>
    </row>
    <row r="84" spans="1:61" s="133" customFormat="1" hidden="1" x14ac:dyDescent="0.2">
      <c r="B84" s="136" t="s">
        <v>281</v>
      </c>
      <c r="C84" s="136">
        <f>SUM(C83,E83,G83,I83,K83,M83)/6</f>
        <v>1.3591259230738151</v>
      </c>
      <c r="D84" s="136">
        <f>SUM(D83,F83,H83,J83,L83,N83)/6</f>
        <v>1.3683641774827866</v>
      </c>
      <c r="E84" s="136"/>
      <c r="F84" s="136"/>
      <c r="G84" s="136"/>
      <c r="H84" s="136"/>
      <c r="I84" s="136"/>
      <c r="J84" s="136"/>
      <c r="K84" s="136"/>
      <c r="L84" s="136"/>
      <c r="M84" s="136"/>
      <c r="N84" s="136"/>
      <c r="O84" s="136">
        <f>SUM(O83,R83,U83,X83)/4</f>
        <v>1.3591259230738151</v>
      </c>
      <c r="P84" s="136">
        <f>SUM(P83,S83,V83,Y83)/4</f>
        <v>1.5265238397345178</v>
      </c>
      <c r="Q84" s="136">
        <f t="shared" ref="Q84" si="38">SUM(Q83,T83,W83,Z83)/4</f>
        <v>0.21614794687929997</v>
      </c>
      <c r="R84" s="136"/>
      <c r="S84" s="136"/>
      <c r="T84" s="136"/>
      <c r="U84" s="136"/>
      <c r="V84" s="136"/>
      <c r="W84" s="136"/>
      <c r="X84" s="136"/>
      <c r="Y84" s="136"/>
      <c r="Z84" s="136"/>
      <c r="AA84" s="136">
        <f>SUM(AA83,AE83,AI83)/3</f>
        <v>1.3591259230738151</v>
      </c>
      <c r="AB84" s="136">
        <f t="shared" ref="AB84:AD84" si="39">SUM(AB83,AF83,AJ83)/3</f>
        <v>1.3683641774827866</v>
      </c>
      <c r="AC84" s="136">
        <f t="shared" si="39"/>
        <v>1.5328896947492383</v>
      </c>
      <c r="AD84" s="136">
        <f t="shared" si="39"/>
        <v>0.21614794687929997</v>
      </c>
      <c r="AE84" s="136"/>
      <c r="AF84" s="136"/>
      <c r="AG84" s="136"/>
      <c r="AH84" s="136"/>
      <c r="AI84" s="136"/>
      <c r="AJ84" s="136"/>
      <c r="AK84" s="136"/>
      <c r="AL84" s="136"/>
    </row>
    <row r="85" spans="1:61" hidden="1" x14ac:dyDescent="0.2">
      <c r="A85" s="268"/>
      <c r="B85" s="229"/>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c r="AA85" s="84"/>
      <c r="AB85" s="200"/>
      <c r="AC85" s="200"/>
      <c r="AD85" s="200"/>
      <c r="AE85" s="200"/>
      <c r="AF85" s="200"/>
      <c r="AG85" s="200"/>
      <c r="AH85" s="200"/>
      <c r="AI85" s="200"/>
      <c r="AJ85" s="200"/>
      <c r="AK85" s="200"/>
      <c r="AL85" s="200"/>
      <c r="AM85" s="268"/>
      <c r="AN85" s="202"/>
      <c r="AO85" s="340"/>
      <c r="AP85" s="340"/>
      <c r="AQ85" s="340"/>
      <c r="AR85" s="340"/>
      <c r="AS85" s="340"/>
      <c r="AT85" s="340"/>
      <c r="AU85" s="340"/>
      <c r="AV85" s="340"/>
      <c r="AW85" s="340"/>
      <c r="AX85" s="340"/>
      <c r="AY85" s="340"/>
      <c r="AZ85" s="340"/>
      <c r="BA85" s="340"/>
      <c r="BB85" s="340"/>
      <c r="BC85" s="340"/>
      <c r="BD85" s="340"/>
      <c r="BE85" s="340"/>
      <c r="BF85" s="340"/>
      <c r="BG85" s="340"/>
      <c r="BH85" s="340"/>
      <c r="BI85" s="340"/>
    </row>
    <row r="86" spans="1:61" ht="15.75" x14ac:dyDescent="0.2">
      <c r="A86" s="268"/>
      <c r="B86" s="206" t="s">
        <v>282</v>
      </c>
      <c r="C86" s="50"/>
      <c r="D86" s="42" t="s">
        <v>167</v>
      </c>
      <c r="E86" s="200"/>
      <c r="F86" s="200"/>
      <c r="G86" s="200"/>
      <c r="H86" s="200"/>
      <c r="I86" s="200"/>
      <c r="J86" s="200"/>
      <c r="K86" s="200"/>
      <c r="L86" s="200"/>
      <c r="M86" s="200"/>
      <c r="N86" s="200"/>
      <c r="O86" s="200"/>
      <c r="P86" s="200"/>
      <c r="Q86" s="200"/>
      <c r="R86" s="200"/>
      <c r="S86" s="200"/>
      <c r="T86" s="200"/>
      <c r="U86" s="200"/>
      <c r="V86" s="200"/>
      <c r="W86" s="200"/>
      <c r="X86" s="200"/>
      <c r="Y86" s="200"/>
      <c r="Z86" s="200"/>
      <c r="AA86" s="84"/>
      <c r="AB86" s="200"/>
      <c r="AC86" s="200"/>
      <c r="AD86" s="200"/>
      <c r="AE86" s="200"/>
      <c r="AF86" s="200"/>
      <c r="AG86" s="200"/>
      <c r="AH86" s="200"/>
      <c r="AI86" s="200"/>
      <c r="AJ86" s="200"/>
      <c r="AK86" s="200"/>
      <c r="AL86" s="200"/>
      <c r="AM86" s="268"/>
      <c r="AN86" s="202"/>
      <c r="AO86" s="340"/>
      <c r="AP86" s="340"/>
      <c r="AQ86" s="340"/>
      <c r="AR86" s="340"/>
      <c r="AS86" s="340"/>
      <c r="AT86" s="340"/>
      <c r="AU86" s="340"/>
      <c r="AV86" s="340"/>
      <c r="AW86" s="340"/>
      <c r="AX86" s="340"/>
      <c r="AY86" s="340"/>
      <c r="AZ86" s="340"/>
      <c r="BA86" s="340"/>
      <c r="BB86" s="340"/>
      <c r="BC86" s="340"/>
      <c r="BD86" s="340"/>
      <c r="BE86" s="340"/>
      <c r="BF86" s="340"/>
      <c r="BG86" s="340"/>
      <c r="BH86" s="340"/>
      <c r="BI86" s="340"/>
    </row>
    <row r="87" spans="1:61" ht="15.75" x14ac:dyDescent="0.2">
      <c r="A87" s="268"/>
      <c r="B87" s="40" t="s">
        <v>283</v>
      </c>
      <c r="C87" s="168">
        <v>7.0000000000000007E-2</v>
      </c>
      <c r="D87" s="167"/>
      <c r="E87" s="200"/>
      <c r="F87" s="200"/>
      <c r="G87" s="200"/>
      <c r="H87" s="200"/>
      <c r="I87" s="200"/>
      <c r="J87" s="200"/>
      <c r="K87" s="200"/>
      <c r="L87" s="200"/>
      <c r="M87" s="200"/>
      <c r="N87" s="200"/>
      <c r="O87" s="200"/>
      <c r="P87" s="200"/>
      <c r="Q87" s="200"/>
      <c r="R87" s="200"/>
      <c r="S87" s="200"/>
      <c r="T87" s="200"/>
      <c r="U87" s="200"/>
      <c r="V87" s="200"/>
      <c r="W87" s="200"/>
      <c r="X87" s="200"/>
      <c r="Y87" s="200"/>
      <c r="Z87" s="200"/>
      <c r="AA87" s="84"/>
      <c r="AB87" s="200"/>
      <c r="AC87" s="200"/>
      <c r="AD87" s="200"/>
      <c r="AE87" s="200"/>
      <c r="AF87" s="200"/>
      <c r="AG87" s="200"/>
      <c r="AH87" s="200"/>
      <c r="AI87" s="200"/>
      <c r="AJ87" s="200"/>
      <c r="AK87" s="200"/>
      <c r="AL87" s="200"/>
      <c r="AM87" s="268"/>
      <c r="AN87" s="202"/>
      <c r="AO87" s="340"/>
      <c r="AP87" s="340"/>
      <c r="AQ87" s="340"/>
      <c r="AR87" s="340"/>
      <c r="AS87" s="340"/>
      <c r="AT87" s="340"/>
      <c r="AU87" s="340"/>
      <c r="AV87" s="340"/>
      <c r="AW87" s="340"/>
      <c r="AX87" s="340"/>
      <c r="AY87" s="340"/>
      <c r="AZ87" s="340"/>
      <c r="BA87" s="340"/>
      <c r="BB87" s="340"/>
      <c r="BC87" s="340"/>
      <c r="BD87" s="340"/>
      <c r="BE87" s="340"/>
      <c r="BF87" s="340"/>
      <c r="BG87" s="340"/>
      <c r="BH87" s="340"/>
      <c r="BI87" s="340"/>
    </row>
    <row r="88" spans="1:61" ht="15.75" x14ac:dyDescent="0.2">
      <c r="A88" s="268"/>
      <c r="B88" s="40" t="s">
        <v>284</v>
      </c>
      <c r="C88" s="168">
        <v>0.02</v>
      </c>
      <c r="D88" s="167"/>
      <c r="E88" s="200"/>
      <c r="F88" s="200"/>
      <c r="G88" s="200"/>
      <c r="H88" s="200"/>
      <c r="I88" s="200"/>
      <c r="J88" s="200"/>
      <c r="K88" s="200"/>
      <c r="L88" s="200"/>
      <c r="M88" s="200"/>
      <c r="N88" s="200"/>
      <c r="O88" s="200"/>
      <c r="P88" s="200"/>
      <c r="Q88" s="200"/>
      <c r="R88" s="200"/>
      <c r="S88" s="200"/>
      <c r="T88" s="200"/>
      <c r="U88" s="200"/>
      <c r="V88" s="200"/>
      <c r="W88" s="200"/>
      <c r="X88" s="200"/>
      <c r="Y88" s="200"/>
      <c r="Z88" s="200"/>
      <c r="AA88" s="84"/>
      <c r="AB88" s="200"/>
      <c r="AC88" s="200"/>
      <c r="AD88" s="200"/>
      <c r="AE88" s="200"/>
      <c r="AF88" s="200"/>
      <c r="AG88" s="200"/>
      <c r="AH88" s="200"/>
      <c r="AI88" s="200"/>
      <c r="AJ88" s="200"/>
      <c r="AK88" s="200"/>
      <c r="AL88" s="200"/>
      <c r="AM88" s="268"/>
      <c r="AN88" s="202"/>
      <c r="AO88" s="340"/>
      <c r="AP88" s="340"/>
      <c r="AQ88" s="340"/>
      <c r="AR88" s="340"/>
      <c r="AS88" s="340"/>
      <c r="AT88" s="340"/>
      <c r="AU88" s="340"/>
      <c r="AV88" s="340"/>
      <c r="AW88" s="340"/>
      <c r="AX88" s="340"/>
      <c r="AY88" s="340"/>
      <c r="AZ88" s="340"/>
      <c r="BA88" s="340"/>
      <c r="BB88" s="340"/>
      <c r="BC88" s="340"/>
      <c r="BD88" s="340"/>
      <c r="BE88" s="340"/>
      <c r="BF88" s="340"/>
      <c r="BG88" s="340"/>
      <c r="BH88" s="340"/>
      <c r="BI88" s="340"/>
    </row>
    <row r="89" spans="1:61" ht="15.75" x14ac:dyDescent="0.2">
      <c r="A89" s="268"/>
      <c r="B89" s="40" t="s">
        <v>285</v>
      </c>
      <c r="C89" s="168">
        <f>(1+IF(ISBLANK(Comparaison!D87),C87,Comparaison!D87))/(1+IF(ISBLANK(Comparaison!D88),C88,Comparaison!D88))-1</f>
        <v>4.9019607843137303E-2</v>
      </c>
      <c r="D89" s="380"/>
      <c r="E89" s="200"/>
      <c r="F89" s="200"/>
      <c r="G89" s="200"/>
      <c r="H89" s="200"/>
      <c r="I89" s="200"/>
      <c r="J89" s="200"/>
      <c r="K89" s="200"/>
      <c r="L89" s="200"/>
      <c r="M89" s="200"/>
      <c r="N89" s="200"/>
      <c r="O89" s="200"/>
      <c r="P89" s="200"/>
      <c r="Q89" s="200"/>
      <c r="R89" s="200"/>
      <c r="S89" s="200"/>
      <c r="T89" s="200"/>
      <c r="U89" s="200"/>
      <c r="V89" s="200"/>
      <c r="W89" s="200"/>
      <c r="X89" s="200"/>
      <c r="Y89" s="200"/>
      <c r="Z89" s="200"/>
      <c r="AA89" s="84"/>
      <c r="AB89" s="200"/>
      <c r="AC89" s="200"/>
      <c r="AD89" s="200"/>
      <c r="AE89" s="200"/>
      <c r="AF89" s="200"/>
      <c r="AG89" s="200"/>
      <c r="AH89" s="200"/>
      <c r="AI89" s="200"/>
      <c r="AJ89" s="200"/>
      <c r="AK89" s="200"/>
      <c r="AL89" s="200"/>
      <c r="AM89" s="268"/>
      <c r="AN89" s="202"/>
      <c r="AO89" s="340"/>
      <c r="AP89" s="340"/>
      <c r="AQ89" s="340"/>
      <c r="AR89" s="340"/>
      <c r="AS89" s="340"/>
      <c r="AT89" s="340"/>
      <c r="AU89" s="340"/>
      <c r="AV89" s="340"/>
      <c r="AW89" s="340"/>
      <c r="AX89" s="340"/>
      <c r="AY89" s="340"/>
      <c r="AZ89" s="340"/>
      <c r="BA89" s="340"/>
      <c r="BB89" s="340"/>
      <c r="BC89" s="340"/>
      <c r="BD89" s="340"/>
      <c r="BE89" s="340"/>
      <c r="BF89" s="340"/>
      <c r="BG89" s="340"/>
      <c r="BH89" s="340"/>
      <c r="BI89" s="340"/>
    </row>
    <row r="90" spans="1:61" hidden="1" x14ac:dyDescent="0.2">
      <c r="A90" s="268"/>
      <c r="B90" s="229"/>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84"/>
      <c r="AB90" s="200"/>
      <c r="AC90" s="200"/>
      <c r="AD90" s="200"/>
      <c r="AE90" s="200"/>
      <c r="AF90" s="200"/>
      <c r="AG90" s="200"/>
      <c r="AH90" s="200"/>
      <c r="AI90" s="200"/>
      <c r="AJ90" s="200"/>
      <c r="AK90" s="200"/>
      <c r="AL90" s="200"/>
      <c r="AM90" s="268"/>
      <c r="AN90" s="202"/>
      <c r="AO90" s="340"/>
      <c r="AP90" s="340"/>
      <c r="AQ90" s="340"/>
      <c r="AR90" s="340"/>
      <c r="AS90" s="340"/>
      <c r="AT90" s="340"/>
      <c r="AU90" s="340"/>
      <c r="AV90" s="340"/>
      <c r="AW90" s="340"/>
      <c r="AX90" s="340"/>
      <c r="AY90" s="340"/>
      <c r="AZ90" s="340"/>
      <c r="BA90" s="340"/>
      <c r="BB90" s="340"/>
      <c r="BC90" s="340"/>
      <c r="BD90" s="340"/>
      <c r="BE90" s="340"/>
      <c r="BF90" s="340"/>
      <c r="BG90" s="340"/>
      <c r="BH90" s="340"/>
      <c r="BI90" s="340"/>
    </row>
    <row r="91" spans="1:61" hidden="1" x14ac:dyDescent="0.2">
      <c r="A91" s="268"/>
      <c r="B91" s="202" t="s">
        <v>286</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84"/>
      <c r="AB91" s="200"/>
      <c r="AC91" s="200"/>
      <c r="AD91" s="200"/>
      <c r="AE91" s="200"/>
      <c r="AF91" s="200"/>
      <c r="AG91" s="200"/>
      <c r="AH91" s="200"/>
      <c r="AI91" s="200"/>
      <c r="AJ91" s="200"/>
      <c r="AK91" s="200"/>
      <c r="AL91" s="200"/>
      <c r="AM91" s="268"/>
      <c r="AN91" s="202"/>
      <c r="AO91" s="340"/>
      <c r="AP91" s="340"/>
      <c r="AQ91" s="340"/>
      <c r="AR91" s="340"/>
      <c r="AS91" s="340"/>
      <c r="AT91" s="340"/>
      <c r="AU91" s="340"/>
      <c r="AV91" s="340"/>
      <c r="AW91" s="340"/>
      <c r="AX91" s="340"/>
      <c r="AY91" s="340"/>
      <c r="AZ91" s="340"/>
      <c r="BA91" s="340"/>
      <c r="BB91" s="340"/>
      <c r="BC91" s="340"/>
      <c r="BD91" s="340"/>
      <c r="BE91" s="340"/>
      <c r="BF91" s="340"/>
      <c r="BG91" s="340"/>
      <c r="BH91" s="340"/>
      <c r="BI91" s="340"/>
    </row>
    <row r="92" spans="1:61" hidden="1" x14ac:dyDescent="0.2">
      <c r="A92" s="268"/>
      <c r="B92" s="202" t="s">
        <v>287</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84"/>
      <c r="AB92" s="200"/>
      <c r="AC92" s="200"/>
      <c r="AD92" s="200"/>
      <c r="AE92" s="200"/>
      <c r="AF92" s="200"/>
      <c r="AG92" s="200"/>
      <c r="AH92" s="200"/>
      <c r="AI92" s="200"/>
      <c r="AJ92" s="200"/>
      <c r="AK92" s="200"/>
      <c r="AL92" s="200"/>
      <c r="AM92" s="268"/>
      <c r="AN92" s="202"/>
      <c r="AO92" s="340"/>
      <c r="AP92" s="340"/>
      <c r="AQ92" s="340"/>
      <c r="AR92" s="340"/>
      <c r="AS92" s="340"/>
      <c r="AT92" s="340"/>
      <c r="AU92" s="340"/>
      <c r="AV92" s="340"/>
      <c r="AW92" s="340"/>
      <c r="AX92" s="340"/>
      <c r="AY92" s="340"/>
      <c r="AZ92" s="340"/>
      <c r="BA92" s="340"/>
      <c r="BB92" s="340"/>
      <c r="BC92" s="340"/>
      <c r="BD92" s="340"/>
      <c r="BE92" s="340"/>
      <c r="BF92" s="340"/>
      <c r="BG92" s="340"/>
      <c r="BH92" s="340"/>
      <c r="BI92" s="340"/>
    </row>
    <row r="93" spans="1:61" ht="15.75" hidden="1" x14ac:dyDescent="0.2">
      <c r="A93" s="268"/>
      <c r="B93" s="207" t="s">
        <v>288</v>
      </c>
      <c r="C93" s="50"/>
      <c r="D93" s="50"/>
      <c r="E93" s="50"/>
      <c r="F93" s="202"/>
      <c r="G93" s="202"/>
      <c r="H93" s="202"/>
      <c r="I93" s="202"/>
      <c r="J93" s="202"/>
      <c r="K93" s="202"/>
      <c r="L93" s="202"/>
      <c r="M93" s="202"/>
      <c r="N93" s="202"/>
      <c r="O93" s="202"/>
      <c r="P93" s="202"/>
      <c r="Q93" s="202"/>
      <c r="R93" s="202"/>
      <c r="S93" s="202"/>
      <c r="T93" s="202"/>
      <c r="U93" s="202"/>
      <c r="V93" s="202"/>
      <c r="W93" s="202"/>
      <c r="X93" s="202"/>
      <c r="Y93" s="202"/>
      <c r="Z93" s="202"/>
      <c r="AA93" s="202"/>
      <c r="AB93" s="84"/>
      <c r="AC93" s="202"/>
      <c r="AD93" s="202"/>
      <c r="AE93" s="202"/>
      <c r="AF93" s="202"/>
      <c r="AG93" s="202"/>
      <c r="AH93" s="202"/>
      <c r="AI93" s="202"/>
      <c r="AJ93" s="202"/>
      <c r="AK93" s="202"/>
      <c r="AL93" s="202"/>
      <c r="AM93" s="268"/>
      <c r="AN93" s="202"/>
      <c r="AO93" s="340"/>
      <c r="AP93" s="340"/>
      <c r="AQ93" s="340"/>
      <c r="AR93" s="340"/>
      <c r="AS93" s="340"/>
      <c r="AT93" s="340"/>
      <c r="AU93" s="340"/>
      <c r="AV93" s="340"/>
      <c r="AW93" s="340"/>
      <c r="AX93" s="340"/>
      <c r="AY93" s="340"/>
      <c r="AZ93" s="340"/>
      <c r="BA93" s="340"/>
      <c r="BB93" s="340"/>
      <c r="BC93" s="340"/>
      <c r="BD93" s="340"/>
      <c r="BE93" s="340"/>
      <c r="BF93" s="340"/>
      <c r="BG93" s="340"/>
      <c r="BH93" s="340"/>
      <c r="BI93" s="340"/>
    </row>
    <row r="94" spans="1:61" ht="15.75" hidden="1" x14ac:dyDescent="0.2">
      <c r="A94" s="268"/>
      <c r="B94" s="72" t="s">
        <v>208</v>
      </c>
      <c r="C94" s="21" t="s">
        <v>209</v>
      </c>
      <c r="D94" s="21" t="s">
        <v>210</v>
      </c>
      <c r="E94" s="21" t="s">
        <v>211</v>
      </c>
      <c r="F94" s="202"/>
      <c r="G94" s="202"/>
      <c r="H94" s="202"/>
      <c r="I94" s="202"/>
      <c r="J94" s="202"/>
      <c r="K94" s="202"/>
      <c r="L94" s="202"/>
      <c r="M94" s="202"/>
      <c r="N94" s="202"/>
      <c r="O94" s="202"/>
      <c r="P94" s="202"/>
      <c r="Q94" s="202"/>
      <c r="R94" s="202"/>
      <c r="S94" s="202"/>
      <c r="T94" s="202"/>
      <c r="U94" s="202"/>
      <c r="V94" s="202"/>
      <c r="W94" s="202"/>
      <c r="X94" s="202"/>
      <c r="Y94" s="202"/>
      <c r="Z94" s="202"/>
      <c r="AA94" s="202"/>
      <c r="AB94" s="84"/>
      <c r="AC94" s="202"/>
      <c r="AD94" s="202"/>
      <c r="AE94" s="202"/>
      <c r="AF94" s="202"/>
      <c r="AG94" s="202"/>
      <c r="AH94" s="202"/>
      <c r="AI94" s="202"/>
      <c r="AJ94" s="202"/>
      <c r="AK94" s="202"/>
      <c r="AL94" s="202"/>
      <c r="AM94" s="268"/>
      <c r="AN94" s="202"/>
      <c r="AO94" s="340"/>
      <c r="AP94" s="340"/>
      <c r="AQ94" s="340"/>
      <c r="AR94" s="340"/>
      <c r="AS94" s="340"/>
      <c r="AT94" s="340"/>
      <c r="AU94" s="340"/>
      <c r="AV94" s="340"/>
      <c r="AW94" s="340"/>
      <c r="AX94" s="340"/>
      <c r="AY94" s="340"/>
      <c r="AZ94" s="340"/>
      <c r="BA94" s="340"/>
      <c r="BB94" s="340"/>
      <c r="BC94" s="340"/>
      <c r="BD94" s="340"/>
      <c r="BE94" s="340"/>
      <c r="BF94" s="340"/>
      <c r="BG94" s="340"/>
      <c r="BH94" s="340"/>
      <c r="BI94" s="340"/>
    </row>
    <row r="95" spans="1:61" ht="30.6" hidden="1" customHeight="1" x14ac:dyDescent="0.2">
      <c r="A95" s="268"/>
      <c r="B95" s="170" t="s">
        <v>289</v>
      </c>
      <c r="C95" s="114">
        <f>NPV($C$89,C74:N74)</f>
        <v>8251.0753221889918</v>
      </c>
      <c r="D95" s="114">
        <f>NPV($C$89,O74:Z74)</f>
        <v>4237.5586803581091</v>
      </c>
      <c r="E95" s="114">
        <f>NPV($C$89,AA74:AL74)</f>
        <v>4131.0548487029182</v>
      </c>
      <c r="F95" s="202"/>
      <c r="G95" s="202"/>
      <c r="H95" s="202"/>
      <c r="I95" s="202"/>
      <c r="J95" s="202"/>
      <c r="K95" s="202"/>
      <c r="L95" s="202"/>
      <c r="M95" s="202"/>
      <c r="N95" s="202"/>
      <c r="O95" s="202"/>
      <c r="P95" s="202"/>
      <c r="Q95" s="202"/>
      <c r="R95" s="202"/>
      <c r="S95" s="202"/>
      <c r="T95" s="202"/>
      <c r="U95" s="202"/>
      <c r="V95" s="202"/>
      <c r="W95" s="202"/>
      <c r="X95" s="202"/>
      <c r="Y95" s="202"/>
      <c r="Z95" s="202"/>
      <c r="AA95" s="202"/>
      <c r="AB95" s="84"/>
      <c r="AC95" s="202"/>
      <c r="AD95" s="202"/>
      <c r="AE95" s="202"/>
      <c r="AF95" s="202"/>
      <c r="AG95" s="202"/>
      <c r="AH95" s="202"/>
      <c r="AI95" s="202"/>
      <c r="AJ95" s="202"/>
      <c r="AK95" s="202"/>
      <c r="AL95" s="202"/>
      <c r="AM95" s="268"/>
      <c r="AN95" s="202"/>
      <c r="AO95" s="340"/>
      <c r="AP95" s="340"/>
      <c r="AQ95" s="340"/>
      <c r="AR95" s="340"/>
      <c r="AS95" s="340"/>
      <c r="AT95" s="340"/>
      <c r="AU95" s="340"/>
      <c r="AV95" s="340"/>
      <c r="AW95" s="340"/>
      <c r="AX95" s="340"/>
      <c r="AY95" s="340"/>
      <c r="AZ95" s="340"/>
      <c r="BA95" s="340"/>
      <c r="BB95" s="340"/>
      <c r="BC95" s="340"/>
      <c r="BD95" s="340"/>
      <c r="BE95" s="340"/>
      <c r="BF95" s="340"/>
      <c r="BG95" s="340"/>
      <c r="BH95" s="340"/>
      <c r="BI95" s="340"/>
    </row>
    <row r="96" spans="1:61" ht="15.75" hidden="1" x14ac:dyDescent="0.2">
      <c r="A96" s="268"/>
      <c r="B96" s="72" t="s">
        <v>290</v>
      </c>
      <c r="C96" s="169" t="str">
        <f>IF(MAX(C95:E95)=E95,"4-year rotation",IF(MAX(C95:E95)=D95,"3-year rotation",IF(MAX(C95:E95)=C95,"2-year rotation")))</f>
        <v>2-year rotation</v>
      </c>
      <c r="D96" s="169"/>
      <c r="E96" s="169"/>
      <c r="F96" s="202"/>
      <c r="G96" s="202"/>
      <c r="H96" s="202"/>
      <c r="I96" s="202"/>
      <c r="J96" s="202"/>
      <c r="K96" s="202"/>
      <c r="L96" s="202"/>
      <c r="M96" s="202"/>
      <c r="N96" s="202"/>
      <c r="O96" s="202"/>
      <c r="P96" s="202"/>
      <c r="Q96" s="202"/>
      <c r="R96" s="202"/>
      <c r="S96" s="202"/>
      <c r="T96" s="202"/>
      <c r="U96" s="202"/>
      <c r="V96" s="202"/>
      <c r="W96" s="202"/>
      <c r="X96" s="202"/>
      <c r="Y96" s="202"/>
      <c r="Z96" s="202"/>
      <c r="AA96" s="202"/>
      <c r="AB96" s="84"/>
      <c r="AC96" s="202"/>
      <c r="AD96" s="202"/>
      <c r="AE96" s="202"/>
      <c r="AF96" s="202"/>
      <c r="AG96" s="202"/>
      <c r="AH96" s="202"/>
      <c r="AI96" s="202"/>
      <c r="AJ96" s="202"/>
      <c r="AK96" s="202"/>
      <c r="AL96" s="202"/>
      <c r="AM96" s="268"/>
      <c r="AN96" s="202"/>
      <c r="AO96" s="340"/>
      <c r="AP96" s="340"/>
      <c r="AQ96" s="340"/>
      <c r="AR96" s="340"/>
      <c r="AS96" s="340"/>
      <c r="AT96" s="340"/>
      <c r="AU96" s="340"/>
      <c r="AV96" s="340"/>
      <c r="AW96" s="340"/>
      <c r="AX96" s="340"/>
      <c r="AY96" s="340"/>
      <c r="AZ96" s="340"/>
      <c r="BA96" s="340"/>
      <c r="BB96" s="340"/>
      <c r="BC96" s="340"/>
      <c r="BD96" s="340"/>
      <c r="BE96" s="340"/>
      <c r="BF96" s="340"/>
      <c r="BG96" s="340"/>
      <c r="BH96" s="340"/>
      <c r="BI96" s="340"/>
    </row>
    <row r="97" spans="1:61" s="99" customFormat="1" ht="15.75" hidden="1" x14ac:dyDescent="0.2">
      <c r="A97" s="268"/>
      <c r="B97" s="170" t="s">
        <v>291</v>
      </c>
      <c r="C97" s="114">
        <f>NPV($C$89,C74:F74)</f>
        <v>3290.2976711184842</v>
      </c>
      <c r="D97" s="115"/>
      <c r="E97" s="114">
        <f>NPV($C$89,AA74:AD74)</f>
        <v>1647.3489354044457</v>
      </c>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68"/>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row>
    <row r="98" spans="1:61" ht="15.75" hidden="1" x14ac:dyDescent="0.2">
      <c r="A98" s="268"/>
      <c r="B98" s="72" t="s">
        <v>292</v>
      </c>
      <c r="C98" s="169" t="str">
        <f>IF(MAX(C97:E97)=C97,"2-year rotation",IF(MAX(C97:E97)=E97,"4-year rotation"))</f>
        <v>2-year rotation</v>
      </c>
      <c r="D98" s="169"/>
      <c r="E98" s="169"/>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68"/>
      <c r="AN98" s="202"/>
      <c r="AO98" s="340"/>
      <c r="AP98" s="340"/>
      <c r="AQ98" s="340"/>
      <c r="AR98" s="340"/>
      <c r="AS98" s="340"/>
      <c r="AT98" s="340"/>
      <c r="AU98" s="340"/>
      <c r="AV98" s="340"/>
      <c r="AW98" s="340"/>
      <c r="AX98" s="340"/>
      <c r="AY98" s="340"/>
      <c r="AZ98" s="340"/>
      <c r="BA98" s="340"/>
      <c r="BB98" s="340"/>
      <c r="BC98" s="340"/>
      <c r="BD98" s="340"/>
      <c r="BE98" s="340"/>
      <c r="BF98" s="340"/>
      <c r="BG98" s="340"/>
      <c r="BH98" s="340"/>
      <c r="BI98" s="340"/>
    </row>
    <row r="99" spans="1:61" hidden="1" x14ac:dyDescent="0.2">
      <c r="A99" s="268"/>
      <c r="B99" s="229"/>
      <c r="C99" s="200"/>
      <c r="D99" s="200"/>
      <c r="E99" s="200"/>
      <c r="F99" s="200"/>
      <c r="G99" s="200"/>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68"/>
      <c r="AN99" s="202"/>
      <c r="AO99" s="340"/>
      <c r="AP99" s="340"/>
      <c r="AQ99" s="340"/>
      <c r="AR99" s="340"/>
      <c r="AS99" s="340"/>
      <c r="AT99" s="340"/>
      <c r="AU99" s="340"/>
      <c r="AV99" s="340"/>
      <c r="AW99" s="340"/>
      <c r="AX99" s="340"/>
      <c r="AY99" s="340"/>
      <c r="AZ99" s="340"/>
      <c r="BA99" s="340"/>
      <c r="BB99" s="340"/>
      <c r="BC99" s="340"/>
      <c r="BD99" s="340"/>
      <c r="BE99" s="340"/>
      <c r="BF99" s="340"/>
      <c r="BG99" s="340"/>
      <c r="BH99" s="340"/>
      <c r="BI99" s="340"/>
    </row>
    <row r="100" spans="1:61" ht="15.75" hidden="1" x14ac:dyDescent="0.2">
      <c r="A100" s="268"/>
      <c r="B100" s="206" t="s">
        <v>293</v>
      </c>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268"/>
      <c r="AN100" s="202"/>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row>
    <row r="101" spans="1:61" ht="15.75" hidden="1" x14ac:dyDescent="0.2">
      <c r="A101" s="268"/>
      <c r="B101" s="111" t="str">
        <f>Rotation_Hide!$B$3</f>
        <v>Length of the rotation cycle</v>
      </c>
      <c r="C101" s="137" t="s">
        <v>209</v>
      </c>
      <c r="D101" s="138"/>
      <c r="E101" s="138"/>
      <c r="F101" s="138"/>
      <c r="G101" s="138"/>
      <c r="H101" s="138"/>
      <c r="I101" s="138"/>
      <c r="J101" s="138"/>
      <c r="K101" s="138"/>
      <c r="L101" s="138"/>
      <c r="M101" s="138"/>
      <c r="N101" s="139"/>
      <c r="O101" s="137" t="s">
        <v>210</v>
      </c>
      <c r="P101" s="138"/>
      <c r="Q101" s="138"/>
      <c r="R101" s="138"/>
      <c r="S101" s="138"/>
      <c r="T101" s="138"/>
      <c r="U101" s="138"/>
      <c r="V101" s="138"/>
      <c r="W101" s="138"/>
      <c r="X101" s="138"/>
      <c r="Y101" s="138"/>
      <c r="Z101" s="139"/>
      <c r="AA101" s="137" t="s">
        <v>211</v>
      </c>
      <c r="AB101" s="138"/>
      <c r="AC101" s="138"/>
      <c r="AD101" s="138"/>
      <c r="AE101" s="138"/>
      <c r="AF101" s="138"/>
      <c r="AG101" s="138"/>
      <c r="AH101" s="138"/>
      <c r="AI101" s="138"/>
      <c r="AJ101" s="138"/>
      <c r="AK101" s="138"/>
      <c r="AL101" s="139"/>
      <c r="AM101" s="268"/>
      <c r="AN101" s="202"/>
      <c r="AO101" s="340"/>
      <c r="AP101" s="340"/>
      <c r="AQ101" s="340"/>
      <c r="AR101" s="340"/>
      <c r="AS101" s="340"/>
      <c r="AT101" s="340"/>
      <c r="AU101" s="340"/>
      <c r="AV101" s="340"/>
      <c r="AW101" s="340"/>
      <c r="AX101" s="340"/>
      <c r="AY101" s="340"/>
      <c r="AZ101" s="340"/>
      <c r="BA101" s="340"/>
      <c r="BB101" s="340"/>
      <c r="BC101" s="340"/>
      <c r="BD101" s="340"/>
      <c r="BE101" s="340"/>
      <c r="BF101" s="340"/>
      <c r="BG101" s="340"/>
      <c r="BH101" s="340"/>
      <c r="BI101" s="340"/>
    </row>
    <row r="102" spans="1:61" ht="15.75" hidden="1" x14ac:dyDescent="0.2">
      <c r="A102" s="268"/>
      <c r="B102" s="111" t="str">
        <f>Rotation_Hide!$B$4</f>
        <v>Rotation cycle</v>
      </c>
      <c r="C102" s="125" t="s">
        <v>213</v>
      </c>
      <c r="D102" s="19"/>
      <c r="E102" s="19" t="s">
        <v>248</v>
      </c>
      <c r="F102" s="19"/>
      <c r="G102" s="19" t="s">
        <v>249</v>
      </c>
      <c r="H102" s="19"/>
      <c r="I102" s="19" t="s">
        <v>250</v>
      </c>
      <c r="J102" s="19"/>
      <c r="K102" s="19" t="s">
        <v>251</v>
      </c>
      <c r="L102" s="19"/>
      <c r="M102" s="19" t="s">
        <v>252</v>
      </c>
      <c r="N102" s="126"/>
      <c r="O102" s="125" t="s">
        <v>213</v>
      </c>
      <c r="P102" s="19"/>
      <c r="Q102" s="19"/>
      <c r="R102" s="19" t="s">
        <v>248</v>
      </c>
      <c r="S102" s="19"/>
      <c r="T102" s="19"/>
      <c r="U102" s="19" t="s">
        <v>249</v>
      </c>
      <c r="V102" s="19"/>
      <c r="W102" s="19"/>
      <c r="X102" s="19" t="s">
        <v>250</v>
      </c>
      <c r="Y102" s="19"/>
      <c r="Z102" s="126"/>
      <c r="AA102" s="125" t="s">
        <v>213</v>
      </c>
      <c r="AB102" s="19"/>
      <c r="AC102" s="19"/>
      <c r="AD102" s="19"/>
      <c r="AE102" s="19" t="s">
        <v>248</v>
      </c>
      <c r="AF102" s="19"/>
      <c r="AG102" s="19"/>
      <c r="AH102" s="19"/>
      <c r="AI102" s="19" t="s">
        <v>249</v>
      </c>
      <c r="AJ102" s="19"/>
      <c r="AK102" s="19"/>
      <c r="AL102" s="126"/>
      <c r="AM102" s="268"/>
      <c r="AN102" s="202"/>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row>
    <row r="103" spans="1:61" ht="15.75" hidden="1" x14ac:dyDescent="0.2">
      <c r="A103" s="268"/>
      <c r="B103" s="111" t="str">
        <f>Rotation_Hide!$B$5</f>
        <v>Year</v>
      </c>
      <c r="C103" s="129">
        <v>1</v>
      </c>
      <c r="D103" s="130">
        <f>C103+1</f>
        <v>2</v>
      </c>
      <c r="E103" s="20">
        <f t="shared" ref="E103" si="40">D103+1</f>
        <v>3</v>
      </c>
      <c r="F103" s="20">
        <f t="shared" ref="F103" si="41">E103+1</f>
        <v>4</v>
      </c>
      <c r="G103" s="20">
        <f t="shared" ref="G103" si="42">F103+1</f>
        <v>5</v>
      </c>
      <c r="H103" s="20">
        <f t="shared" ref="H103" si="43">G103+1</f>
        <v>6</v>
      </c>
      <c r="I103" s="20">
        <f t="shared" ref="I103" si="44">H103+1</f>
        <v>7</v>
      </c>
      <c r="J103" s="20">
        <f t="shared" ref="J103" si="45">I103+1</f>
        <v>8</v>
      </c>
      <c r="K103" s="20">
        <f t="shared" ref="K103" si="46">J103+1</f>
        <v>9</v>
      </c>
      <c r="L103" s="20">
        <f t="shared" ref="L103" si="47">K103+1</f>
        <v>10</v>
      </c>
      <c r="M103" s="20">
        <f t="shared" ref="M103" si="48">L103+1</f>
        <v>11</v>
      </c>
      <c r="N103" s="20">
        <f t="shared" ref="N103" si="49">M103+1</f>
        <v>12</v>
      </c>
      <c r="O103" s="129">
        <v>1</v>
      </c>
      <c r="P103" s="131">
        <f>O103+1</f>
        <v>2</v>
      </c>
      <c r="Q103" s="130">
        <f t="shared" ref="Q103:Z103" si="50">P103+1</f>
        <v>3</v>
      </c>
      <c r="R103" s="20">
        <f t="shared" si="50"/>
        <v>4</v>
      </c>
      <c r="S103" s="20">
        <f t="shared" si="50"/>
        <v>5</v>
      </c>
      <c r="T103" s="20">
        <f t="shared" si="50"/>
        <v>6</v>
      </c>
      <c r="U103" s="20">
        <f t="shared" si="50"/>
        <v>7</v>
      </c>
      <c r="V103" s="20">
        <f t="shared" si="50"/>
        <v>8</v>
      </c>
      <c r="W103" s="20">
        <f t="shared" si="50"/>
        <v>9</v>
      </c>
      <c r="X103" s="20">
        <f t="shared" si="50"/>
        <v>10</v>
      </c>
      <c r="Y103" s="20">
        <f t="shared" si="50"/>
        <v>11</v>
      </c>
      <c r="Z103" s="20">
        <f t="shared" si="50"/>
        <v>12</v>
      </c>
      <c r="AA103" s="129">
        <v>1</v>
      </c>
      <c r="AB103" s="131">
        <f>AA103+1</f>
        <v>2</v>
      </c>
      <c r="AC103" s="131">
        <f t="shared" ref="AC103:AL103" si="51">AB103+1</f>
        <v>3</v>
      </c>
      <c r="AD103" s="130">
        <f t="shared" si="51"/>
        <v>4</v>
      </c>
      <c r="AE103" s="20">
        <f t="shared" si="51"/>
        <v>5</v>
      </c>
      <c r="AF103" s="20">
        <f t="shared" si="51"/>
        <v>6</v>
      </c>
      <c r="AG103" s="20">
        <f t="shared" si="51"/>
        <v>7</v>
      </c>
      <c r="AH103" s="20">
        <f t="shared" si="51"/>
        <v>8</v>
      </c>
      <c r="AI103" s="20">
        <f t="shared" si="51"/>
        <v>9</v>
      </c>
      <c r="AJ103" s="20">
        <f t="shared" si="51"/>
        <v>10</v>
      </c>
      <c r="AK103" s="20">
        <f t="shared" si="51"/>
        <v>11</v>
      </c>
      <c r="AL103" s="128">
        <f t="shared" si="51"/>
        <v>12</v>
      </c>
      <c r="AM103" s="268"/>
      <c r="AN103" s="202"/>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row>
    <row r="104" spans="1:61" ht="15.75" hidden="1" x14ac:dyDescent="0.2">
      <c r="A104" s="268"/>
      <c r="B104" s="111" t="s">
        <v>294</v>
      </c>
      <c r="C104" s="181" t="str">
        <f>'Tableau de bord'!$C$33</f>
        <v>Pommes de terre</v>
      </c>
      <c r="D104" s="171" t="str">
        <f>'Tableau de bord'!$C$34</f>
        <v>Maïs</v>
      </c>
      <c r="E104" s="171" t="str">
        <f>'Tableau de bord'!$C$33</f>
        <v>Pommes de terre</v>
      </c>
      <c r="F104" s="171" t="str">
        <f>'Tableau de bord'!$C$34</f>
        <v>Maïs</v>
      </c>
      <c r="G104" s="171" t="str">
        <f>'Tableau de bord'!$C$33</f>
        <v>Pommes de terre</v>
      </c>
      <c r="H104" s="171" t="str">
        <f>'Tableau de bord'!$C$34</f>
        <v>Maïs</v>
      </c>
      <c r="I104" s="171" t="str">
        <f>'Tableau de bord'!$C$33</f>
        <v>Pommes de terre</v>
      </c>
      <c r="J104" s="171" t="str">
        <f>'Tableau de bord'!$C$34</f>
        <v>Maïs</v>
      </c>
      <c r="K104" s="171" t="str">
        <f>'Tableau de bord'!$C$33</f>
        <v>Pommes de terre</v>
      </c>
      <c r="L104" s="171" t="str">
        <f>'Tableau de bord'!$C$34</f>
        <v>Maïs</v>
      </c>
      <c r="M104" s="171" t="str">
        <f>'Tableau de bord'!$C$33</f>
        <v>Pommes de terre</v>
      </c>
      <c r="N104" s="171" t="str">
        <f>'Tableau de bord'!$C$34</f>
        <v>Maïs</v>
      </c>
      <c r="O104" s="171" t="str">
        <f>'Tableau de bord'!$D$33</f>
        <v>Pommes de terre</v>
      </c>
      <c r="P104" s="171" t="str">
        <f>'Tableau de bord'!$D$34</f>
        <v>Orge</v>
      </c>
      <c r="Q104" s="171" t="str">
        <f>'Tableau de bord'!$D$35</f>
        <v>Culture fourragère (An 1)</v>
      </c>
      <c r="R104" s="171" t="str">
        <f>'Tableau de bord'!$D$33</f>
        <v>Pommes de terre</v>
      </c>
      <c r="S104" s="171" t="str">
        <f>'Tableau de bord'!$D$34</f>
        <v>Orge</v>
      </c>
      <c r="T104" s="171" t="str">
        <f>'Tableau de bord'!$D$35</f>
        <v>Culture fourragère (An 1)</v>
      </c>
      <c r="U104" s="171" t="str">
        <f>'Tableau de bord'!$D$33</f>
        <v>Pommes de terre</v>
      </c>
      <c r="V104" s="171" t="str">
        <f>'Tableau de bord'!$D$34</f>
        <v>Orge</v>
      </c>
      <c r="W104" s="171" t="str">
        <f>'Tableau de bord'!$D$35</f>
        <v>Culture fourragère (An 1)</v>
      </c>
      <c r="X104" s="171" t="str">
        <f>'Tableau de bord'!$D$33</f>
        <v>Pommes de terre</v>
      </c>
      <c r="Y104" s="171" t="str">
        <f>'Tableau de bord'!$D$34</f>
        <v>Orge</v>
      </c>
      <c r="Z104" s="171" t="str">
        <f>'Tableau de bord'!$D$35</f>
        <v>Culture fourragère (An 1)</v>
      </c>
      <c r="AA104" s="171" t="str">
        <f>'Tableau de bord'!$E$33</f>
        <v>Pommes de terre</v>
      </c>
      <c r="AB104" s="171" t="str">
        <f>'Tableau de bord'!$E$34</f>
        <v>Maïs</v>
      </c>
      <c r="AC104" s="171" t="str">
        <f>'Tableau de bord'!$E$35</f>
        <v>Blé (hiver)</v>
      </c>
      <c r="AD104" s="171" t="str">
        <f>'Tableau de bord'!$E$36</f>
        <v>Culture fourragère (An 1)</v>
      </c>
      <c r="AE104" s="171" t="str">
        <f>'Tableau de bord'!$E$33</f>
        <v>Pommes de terre</v>
      </c>
      <c r="AF104" s="171" t="str">
        <f>'Tableau de bord'!$E$34</f>
        <v>Maïs</v>
      </c>
      <c r="AG104" s="171" t="str">
        <f>'Tableau de bord'!$E$35</f>
        <v>Blé (hiver)</v>
      </c>
      <c r="AH104" s="171" t="str">
        <f>'Tableau de bord'!$E$36</f>
        <v>Culture fourragère (An 1)</v>
      </c>
      <c r="AI104" s="171" t="str">
        <f>'Tableau de bord'!$E$33</f>
        <v>Pommes de terre</v>
      </c>
      <c r="AJ104" s="171" t="str">
        <f>'Tableau de bord'!$E$34</f>
        <v>Maïs</v>
      </c>
      <c r="AK104" s="171" t="str">
        <f>'Tableau de bord'!$E$35</f>
        <v>Blé (hiver)</v>
      </c>
      <c r="AL104" s="171" t="str">
        <f>'Tableau de bord'!$E$36</f>
        <v>Culture fourragère (An 1)</v>
      </c>
      <c r="AM104" s="268"/>
      <c r="AN104" s="202"/>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row>
    <row r="105" spans="1:61" ht="15.75" hidden="1" x14ac:dyDescent="0.2">
      <c r="A105" s="268"/>
      <c r="B105" s="40" t="s">
        <v>295</v>
      </c>
      <c r="C105" s="165">
        <v>0</v>
      </c>
      <c r="D105" s="164">
        <v>0</v>
      </c>
      <c r="E105" s="164">
        <v>0</v>
      </c>
      <c r="F105" s="164">
        <v>0</v>
      </c>
      <c r="G105" s="164">
        <v>0</v>
      </c>
      <c r="H105" s="164">
        <v>0</v>
      </c>
      <c r="I105" s="164">
        <v>0</v>
      </c>
      <c r="J105" s="164">
        <v>0</v>
      </c>
      <c r="K105" s="164">
        <v>0</v>
      </c>
      <c r="L105" s="164">
        <v>0</v>
      </c>
      <c r="M105" s="164">
        <v>0</v>
      </c>
      <c r="N105" s="164">
        <v>0</v>
      </c>
      <c r="O105" s="164">
        <v>0</v>
      </c>
      <c r="P105" s="164">
        <v>0</v>
      </c>
      <c r="Q105" s="164">
        <v>0</v>
      </c>
      <c r="R105" s="164">
        <v>0</v>
      </c>
      <c r="S105" s="164">
        <v>0</v>
      </c>
      <c r="T105" s="164">
        <v>0</v>
      </c>
      <c r="U105" s="164">
        <v>0</v>
      </c>
      <c r="V105" s="164">
        <v>0</v>
      </c>
      <c r="W105" s="164">
        <v>0</v>
      </c>
      <c r="X105" s="164">
        <v>0</v>
      </c>
      <c r="Y105" s="164">
        <v>0</v>
      </c>
      <c r="Z105" s="164">
        <v>0</v>
      </c>
      <c r="AA105" s="164">
        <v>0</v>
      </c>
      <c r="AB105" s="164">
        <v>0</v>
      </c>
      <c r="AC105" s="164">
        <v>0</v>
      </c>
      <c r="AD105" s="164">
        <v>0</v>
      </c>
      <c r="AE105" s="164">
        <v>0</v>
      </c>
      <c r="AF105" s="164">
        <v>0</v>
      </c>
      <c r="AG105" s="164">
        <v>0</v>
      </c>
      <c r="AH105" s="164">
        <v>0</v>
      </c>
      <c r="AI105" s="164">
        <v>0</v>
      </c>
      <c r="AJ105" s="164">
        <v>0</v>
      </c>
      <c r="AK105" s="164">
        <v>0</v>
      </c>
      <c r="AL105" s="164">
        <v>0</v>
      </c>
      <c r="AM105" s="268"/>
      <c r="AN105" s="202"/>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row>
    <row r="106" spans="1:61" ht="15.75" hidden="1" x14ac:dyDescent="0.2">
      <c r="A106" s="268"/>
      <c r="B106" s="40"/>
      <c r="C106" s="183"/>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268"/>
      <c r="AN106" s="202"/>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row>
    <row r="107" spans="1:61" s="32" customFormat="1" hidden="1" x14ac:dyDescent="0.2">
      <c r="A107" s="75"/>
      <c r="B107" s="5" t="s">
        <v>296</v>
      </c>
      <c r="C107" s="182">
        <f>IF(ISBLANK(Comparaison!C106),Comparaison!C105,Comparaison!C106)</f>
        <v>0</v>
      </c>
      <c r="D107" s="172">
        <f>IF(ISBLANK(Comparaison!D106),Comparaison!D105,Comparaison!D106)</f>
        <v>0</v>
      </c>
      <c r="E107" s="172">
        <f>IF(ISBLANK(Comparaison!E106),Comparaison!E105,Comparaison!E106)</f>
        <v>0</v>
      </c>
      <c r="F107" s="172">
        <f>IF(ISBLANK(Comparaison!F106),Comparaison!F105,Comparaison!F106)</f>
        <v>0</v>
      </c>
      <c r="G107" s="172">
        <f>IF(ISBLANK(Comparaison!G106),Comparaison!G105,Comparaison!G106)</f>
        <v>0</v>
      </c>
      <c r="H107" s="172">
        <f>IF(ISBLANK(Comparaison!H106),Comparaison!H105,Comparaison!H106)</f>
        <v>0</v>
      </c>
      <c r="I107" s="172">
        <f>IF(ISBLANK(Comparaison!I106),Comparaison!I105,Comparaison!I106)</f>
        <v>0</v>
      </c>
      <c r="J107" s="172">
        <f>IF(ISBLANK(Comparaison!J106),Comparaison!J105,Comparaison!J106)</f>
        <v>0</v>
      </c>
      <c r="K107" s="172">
        <f>IF(ISBLANK(Comparaison!K106),Comparaison!K105,Comparaison!K106)</f>
        <v>0</v>
      </c>
      <c r="L107" s="172">
        <f>IF(ISBLANK(Comparaison!L106),Comparaison!L105,Comparaison!L106)</f>
        <v>0</v>
      </c>
      <c r="M107" s="172">
        <f>IF(ISBLANK(Comparaison!M106),Comparaison!M105,Comparaison!M106)</f>
        <v>0</v>
      </c>
      <c r="N107" s="172">
        <f>IF(ISBLANK(Comparaison!N106),Comparaison!N105,Comparaison!N106)</f>
        <v>0</v>
      </c>
      <c r="O107" s="172">
        <f>IF(ISBLANK(Comparaison!O106),Comparaison!O105,Comparaison!O106)</f>
        <v>0</v>
      </c>
      <c r="P107" s="172">
        <f>IF(ISBLANK(Comparaison!P106),Comparaison!P105,Comparaison!P106)</f>
        <v>0</v>
      </c>
      <c r="Q107" s="172">
        <f>IF(ISBLANK(Comparaison!Q106),Comparaison!Q105,Comparaison!Q106)</f>
        <v>0</v>
      </c>
      <c r="R107" s="172">
        <f>IF(ISBLANK(Comparaison!R106),Comparaison!R105,Comparaison!R106)</f>
        <v>0</v>
      </c>
      <c r="S107" s="172">
        <f>IF(ISBLANK(Comparaison!S106),Comparaison!S105,Comparaison!S106)</f>
        <v>0</v>
      </c>
      <c r="T107" s="172">
        <f>IF(ISBLANK(Comparaison!T106),Comparaison!T105,Comparaison!T106)</f>
        <v>0</v>
      </c>
      <c r="U107" s="172">
        <f>IF(ISBLANK(Comparaison!U106),Comparaison!U105,Comparaison!U106)</f>
        <v>0</v>
      </c>
      <c r="V107" s="172">
        <f>IF(ISBLANK(Comparaison!V106),Comparaison!V105,Comparaison!V106)</f>
        <v>0</v>
      </c>
      <c r="W107" s="172">
        <f>IF(ISBLANK(Comparaison!W106),Comparaison!W105,Comparaison!W106)</f>
        <v>0</v>
      </c>
      <c r="X107" s="172">
        <f>IF(ISBLANK(Comparaison!X106),Comparaison!X105,Comparaison!X106)</f>
        <v>0</v>
      </c>
      <c r="Y107" s="172">
        <f>IF(ISBLANK(Comparaison!Y106),Comparaison!Y105,Comparaison!Y106)</f>
        <v>0</v>
      </c>
      <c r="Z107" s="172">
        <f>IF(ISBLANK(Comparaison!Z106),Comparaison!Z105,Comparaison!Z106)</f>
        <v>0</v>
      </c>
      <c r="AA107" s="172">
        <f>IF(ISBLANK(Comparaison!AA106),Comparaison!AA105,Comparaison!AA106)</f>
        <v>0</v>
      </c>
      <c r="AB107" s="172">
        <f>IF(ISBLANK(Comparaison!AB106),Comparaison!AB105,Comparaison!AB106)</f>
        <v>0</v>
      </c>
      <c r="AC107" s="172">
        <f>IF(ISBLANK(Comparaison!AC106),Comparaison!AC105,Comparaison!AC106)</f>
        <v>0</v>
      </c>
      <c r="AD107" s="172">
        <f>IF(ISBLANK(Comparaison!AD106),Comparaison!AD105,Comparaison!AD106)</f>
        <v>0</v>
      </c>
      <c r="AE107" s="172">
        <f>IF(ISBLANK(Comparaison!AE106),Comparaison!AE105,Comparaison!AE106)</f>
        <v>0</v>
      </c>
      <c r="AF107" s="172">
        <f>IF(ISBLANK(Comparaison!AF106),Comparaison!AF105,Comparaison!AF106)</f>
        <v>0</v>
      </c>
      <c r="AG107" s="172">
        <f>IF(ISBLANK(Comparaison!AG106),Comparaison!AG105,Comparaison!AG106)</f>
        <v>0</v>
      </c>
      <c r="AH107" s="172">
        <f>IF(ISBLANK(Comparaison!AH106),Comparaison!AH105,Comparaison!AH106)</f>
        <v>0</v>
      </c>
      <c r="AI107" s="172">
        <f>IF(ISBLANK(Comparaison!AI106),Comparaison!AI105,Comparaison!AI106)</f>
        <v>0</v>
      </c>
      <c r="AJ107" s="172">
        <f>IF(ISBLANK(Comparaison!AJ106),Comparaison!AJ105,Comparaison!AJ106)</f>
        <v>0</v>
      </c>
      <c r="AK107" s="172">
        <f>IF(ISBLANK(Comparaison!AK106),Comparaison!AK105,Comparaison!AK106)</f>
        <v>0</v>
      </c>
      <c r="AL107" s="172">
        <f>IF(ISBLANK(Comparaison!AL106),Comparaison!AL105,Comparaison!AL106)</f>
        <v>0</v>
      </c>
      <c r="AM107" s="89"/>
    </row>
    <row r="108" spans="1:61" ht="15.75" hidden="1" x14ac:dyDescent="0.2">
      <c r="A108" s="268"/>
      <c r="B108" s="40" t="s">
        <v>297</v>
      </c>
      <c r="C108" s="165">
        <v>0</v>
      </c>
      <c r="D108" s="164">
        <v>0</v>
      </c>
      <c r="E108" s="164">
        <v>0</v>
      </c>
      <c r="F108" s="164">
        <v>0</v>
      </c>
      <c r="G108" s="164">
        <v>0</v>
      </c>
      <c r="H108" s="164">
        <v>0</v>
      </c>
      <c r="I108" s="164">
        <v>0</v>
      </c>
      <c r="J108" s="164">
        <v>0</v>
      </c>
      <c r="K108" s="164">
        <v>0</v>
      </c>
      <c r="L108" s="164">
        <v>0</v>
      </c>
      <c r="M108" s="164">
        <v>0</v>
      </c>
      <c r="N108" s="164">
        <v>0</v>
      </c>
      <c r="O108" s="164">
        <v>0</v>
      </c>
      <c r="P108" s="164">
        <v>0</v>
      </c>
      <c r="Q108" s="164">
        <v>0</v>
      </c>
      <c r="R108" s="164">
        <v>0</v>
      </c>
      <c r="S108" s="164">
        <v>0</v>
      </c>
      <c r="T108" s="164">
        <v>0</v>
      </c>
      <c r="U108" s="164">
        <v>0</v>
      </c>
      <c r="V108" s="164">
        <v>0</v>
      </c>
      <c r="W108" s="164">
        <v>0</v>
      </c>
      <c r="X108" s="164">
        <v>0</v>
      </c>
      <c r="Y108" s="164">
        <v>0</v>
      </c>
      <c r="Z108" s="164">
        <v>0</v>
      </c>
      <c r="AA108" s="164">
        <v>0</v>
      </c>
      <c r="AB108" s="164">
        <v>0</v>
      </c>
      <c r="AC108" s="164">
        <v>0</v>
      </c>
      <c r="AD108" s="164">
        <v>0</v>
      </c>
      <c r="AE108" s="164">
        <v>0</v>
      </c>
      <c r="AF108" s="164">
        <v>0</v>
      </c>
      <c r="AG108" s="164">
        <v>0</v>
      </c>
      <c r="AH108" s="164">
        <v>0</v>
      </c>
      <c r="AI108" s="164">
        <v>0</v>
      </c>
      <c r="AJ108" s="164">
        <v>0</v>
      </c>
      <c r="AK108" s="164">
        <v>0</v>
      </c>
      <c r="AL108" s="164">
        <v>0</v>
      </c>
      <c r="AM108" s="268"/>
      <c r="AN108" s="202"/>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row>
    <row r="109" spans="1:61" ht="15.75" hidden="1" x14ac:dyDescent="0.2">
      <c r="A109" s="268"/>
      <c r="B109" s="40"/>
      <c r="C109" s="183"/>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268"/>
      <c r="AN109" s="202"/>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row>
    <row r="110" spans="1:61" ht="15.75" hidden="1" x14ac:dyDescent="0.2">
      <c r="A110" s="268"/>
      <c r="B110" s="104" t="s">
        <v>298</v>
      </c>
      <c r="C110" s="184">
        <f t="shared" ref="C110:K110" si="52">IF(ISBLANK(C109),C108,C109)/($C$89-0.005)</f>
        <v>0</v>
      </c>
      <c r="D110" s="175">
        <f t="shared" si="52"/>
        <v>0</v>
      </c>
      <c r="E110" s="175">
        <f t="shared" si="52"/>
        <v>0</v>
      </c>
      <c r="F110" s="175">
        <f t="shared" si="52"/>
        <v>0</v>
      </c>
      <c r="G110" s="175">
        <f t="shared" si="52"/>
        <v>0</v>
      </c>
      <c r="H110" s="175">
        <f t="shared" si="52"/>
        <v>0</v>
      </c>
      <c r="I110" s="175">
        <f t="shared" si="52"/>
        <v>0</v>
      </c>
      <c r="J110" s="175">
        <f t="shared" si="52"/>
        <v>0</v>
      </c>
      <c r="K110" s="175">
        <f t="shared" si="52"/>
        <v>0</v>
      </c>
      <c r="L110" s="175">
        <f t="shared" ref="L110" si="53">IF(ISBLANK(L109),L108,L109)/($C$89-0.005)</f>
        <v>0</v>
      </c>
      <c r="M110" s="175">
        <f t="shared" ref="M110" si="54">IF(ISBLANK(M109),M108,M109)/($C$89-0.005)</f>
        <v>0</v>
      </c>
      <c r="N110" s="175">
        <f t="shared" ref="N110" si="55">IF(ISBLANK(N109),N108,N109)/($C$89-0.005)</f>
        <v>0</v>
      </c>
      <c r="O110" s="175">
        <f>IF(ISBLANK(O109),O108,O109)/($C$89-0.005)</f>
        <v>0</v>
      </c>
      <c r="P110" s="175">
        <f t="shared" ref="P110" si="56">IF(ISBLANK(P109),P108,P109)/($C$89-0.005)</f>
        <v>0</v>
      </c>
      <c r="Q110" s="175">
        <f t="shared" ref="Q110" si="57">IF(ISBLANK(Q109),Q108,Q109)/($C$89-0.005)</f>
        <v>0</v>
      </c>
      <c r="R110" s="175">
        <f t="shared" ref="R110" si="58">IF(ISBLANK(R109),R108,R109)/($C$89-0.005)</f>
        <v>0</v>
      </c>
      <c r="S110" s="175">
        <f t="shared" ref="S110" si="59">IF(ISBLANK(S109),S108,S109)/($C$89-0.005)</f>
        <v>0</v>
      </c>
      <c r="T110" s="175">
        <f t="shared" ref="T110" si="60">IF(ISBLANK(T109),T108,T109)/($C$89-0.005)</f>
        <v>0</v>
      </c>
      <c r="U110" s="175">
        <f t="shared" ref="U110" si="61">IF(ISBLANK(U109),U108,U109)/($C$89-0.005)</f>
        <v>0</v>
      </c>
      <c r="V110" s="175">
        <f t="shared" ref="V110" si="62">IF(ISBLANK(V109),V108,V109)/($C$89-0.005)</f>
        <v>0</v>
      </c>
      <c r="W110" s="175">
        <f t="shared" ref="W110" si="63">IF(ISBLANK(W109),W108,W109)/($C$89-0.005)</f>
        <v>0</v>
      </c>
      <c r="X110" s="175">
        <f t="shared" ref="X110" si="64">IF(ISBLANK(X109),X108,X109)/($C$89-0.005)</f>
        <v>0</v>
      </c>
      <c r="Y110" s="175">
        <f t="shared" ref="Y110" si="65">IF(ISBLANK(Y109),Y108,Y109)/($C$89-0.005)</f>
        <v>0</v>
      </c>
      <c r="Z110" s="175">
        <f t="shared" ref="Z110" si="66">IF(ISBLANK(Z109),Z108,Z109)/($C$89-0.005)</f>
        <v>0</v>
      </c>
      <c r="AA110" s="175">
        <f t="shared" ref="AA110" si="67">IF(ISBLANK(AA109),AA108,AA109)/($C$89-0.005)</f>
        <v>0</v>
      </c>
      <c r="AB110" s="175">
        <f t="shared" ref="AB110" si="68">IF(ISBLANK(AB109),AB108,AB109)/($C$89-0.005)</f>
        <v>0</v>
      </c>
      <c r="AC110" s="175">
        <f t="shared" ref="AC110" si="69">IF(ISBLANK(AC109),AC108,AC109)/($C$89-0.005)</f>
        <v>0</v>
      </c>
      <c r="AD110" s="175">
        <f t="shared" ref="AD110" si="70">IF(ISBLANK(AD109),AD108,AD109)/($C$89-0.005)</f>
        <v>0</v>
      </c>
      <c r="AE110" s="175">
        <f t="shared" ref="AE110" si="71">IF(ISBLANK(AE109),AE108,AE109)/($C$89-0.005)</f>
        <v>0</v>
      </c>
      <c r="AF110" s="175">
        <f t="shared" ref="AF110" si="72">IF(ISBLANK(AF109),AF108,AF109)/($C$89-0.005)</f>
        <v>0</v>
      </c>
      <c r="AG110" s="175">
        <f t="shared" ref="AG110" si="73">IF(ISBLANK(AG109),AG108,AG109)/($C$89-0.005)</f>
        <v>0</v>
      </c>
      <c r="AH110" s="175">
        <f t="shared" ref="AH110" si="74">IF(ISBLANK(AH109),AH108,AH109)/($C$89-0.005)</f>
        <v>0</v>
      </c>
      <c r="AI110" s="175">
        <f t="shared" ref="AI110" si="75">IF(ISBLANK(AI109),AI108,AI109)/($C$89-0.005)</f>
        <v>0</v>
      </c>
      <c r="AJ110" s="175">
        <f t="shared" ref="AJ110" si="76">IF(ISBLANK(AJ109),AJ108,AJ109)/($C$89-0.005)</f>
        <v>0</v>
      </c>
      <c r="AK110" s="175">
        <f t="shared" ref="AK110" si="77">IF(ISBLANK(AK109),AK108,AK109)/($C$89-0.005)</f>
        <v>0</v>
      </c>
      <c r="AL110" s="175">
        <f t="shared" ref="AL110" si="78">IF(ISBLANK(AL109),AL108,AL109)/($C$89-0.005)</f>
        <v>0</v>
      </c>
      <c r="AM110" s="268"/>
      <c r="AN110" s="202"/>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row>
    <row r="111" spans="1:61" hidden="1" x14ac:dyDescent="0.2">
      <c r="A111" s="268"/>
      <c r="B111" s="229"/>
      <c r="C111" s="200"/>
      <c r="D111" s="200"/>
      <c r="E111" s="200"/>
      <c r="F111" s="200"/>
      <c r="G111" s="200"/>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68"/>
      <c r="AN111" s="202"/>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row>
    <row r="112" spans="1:61" hidden="1" x14ac:dyDescent="0.2">
      <c r="A112" s="268"/>
      <c r="B112" s="202" t="s">
        <v>299</v>
      </c>
      <c r="C112" s="200"/>
      <c r="D112" s="200"/>
      <c r="E112" s="200"/>
      <c r="F112" s="200"/>
      <c r="G112" s="200"/>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68"/>
      <c r="AN112" s="202"/>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row>
    <row r="113" spans="1:61" hidden="1" x14ac:dyDescent="0.2">
      <c r="A113" s="268"/>
      <c r="B113" s="202" t="s">
        <v>300</v>
      </c>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68"/>
      <c r="AN113" s="202"/>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row>
    <row r="114" spans="1:61" hidden="1" x14ac:dyDescent="0.2">
      <c r="A114" s="268"/>
      <c r="B114" s="90" t="s">
        <v>301</v>
      </c>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68"/>
      <c r="AN114" s="202"/>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row>
    <row r="115" spans="1:61" hidden="1" x14ac:dyDescent="0.2">
      <c r="A115" s="268"/>
      <c r="B115" s="202" t="s">
        <v>302</v>
      </c>
      <c r="C115" s="200"/>
      <c r="D115" s="200"/>
      <c r="E115" s="200"/>
      <c r="F115" s="200"/>
      <c r="G115" s="200"/>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68"/>
      <c r="AN115" s="202"/>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row>
    <row r="116" spans="1:61" ht="15.75" hidden="1" x14ac:dyDescent="0.2">
      <c r="A116" s="268"/>
      <c r="B116" s="206" t="s">
        <v>288</v>
      </c>
      <c r="C116" s="34"/>
      <c r="D116" s="34"/>
      <c r="E116" s="34"/>
      <c r="F116" s="200"/>
      <c r="G116" s="200"/>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68"/>
      <c r="AN116" s="202"/>
      <c r="AO116" s="340"/>
      <c r="AP116" s="340"/>
      <c r="AQ116" s="340"/>
      <c r="AR116" s="340"/>
      <c r="AS116" s="340"/>
      <c r="AT116" s="340"/>
      <c r="AU116" s="340"/>
      <c r="AV116" s="340"/>
      <c r="AW116" s="340"/>
      <c r="AX116" s="340"/>
      <c r="AY116" s="340"/>
      <c r="AZ116" s="340"/>
      <c r="BA116" s="340"/>
      <c r="BB116" s="340"/>
      <c r="BC116" s="340"/>
      <c r="BD116" s="340"/>
      <c r="BE116" s="340"/>
      <c r="BF116" s="340"/>
      <c r="BG116" s="340"/>
      <c r="BH116" s="340"/>
      <c r="BI116" s="340"/>
    </row>
    <row r="117" spans="1:61" ht="15.75" hidden="1" x14ac:dyDescent="0.2">
      <c r="A117" s="268"/>
      <c r="B117" s="72" t="s">
        <v>208</v>
      </c>
      <c r="C117" s="21" t="s">
        <v>209</v>
      </c>
      <c r="D117" s="21" t="s">
        <v>210</v>
      </c>
      <c r="E117" s="21" t="s">
        <v>211</v>
      </c>
      <c r="F117" s="200"/>
      <c r="G117" s="200"/>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68"/>
      <c r="AN117" s="202"/>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row>
    <row r="118" spans="1:61" ht="15.75" hidden="1" x14ac:dyDescent="0.2">
      <c r="A118" s="268"/>
      <c r="B118" s="105" t="s">
        <v>303</v>
      </c>
      <c r="C118" s="106">
        <f>NPV(Comparaison!$C$89,C107:N107)</f>
        <v>0</v>
      </c>
      <c r="D118" s="106">
        <f>NPV(Comparaison!$C$89,O107:Z107)</f>
        <v>0</v>
      </c>
      <c r="E118" s="106">
        <f>NPV(Comparaison!$C$89,AA107:AL107)</f>
        <v>0</v>
      </c>
      <c r="F118" s="200"/>
      <c r="G118" s="200"/>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68"/>
      <c r="AN118" s="202"/>
      <c r="AO118" s="340"/>
      <c r="AP118" s="340"/>
      <c r="AQ118" s="340"/>
      <c r="AR118" s="340"/>
      <c r="AS118" s="340"/>
      <c r="AT118" s="340"/>
      <c r="AU118" s="340"/>
      <c r="AV118" s="340"/>
      <c r="AW118" s="340"/>
      <c r="AX118" s="340"/>
      <c r="AY118" s="340"/>
      <c r="AZ118" s="340"/>
      <c r="BA118" s="340"/>
      <c r="BB118" s="340"/>
      <c r="BC118" s="340"/>
      <c r="BD118" s="340"/>
      <c r="BE118" s="340"/>
      <c r="BF118" s="340"/>
      <c r="BG118" s="340"/>
      <c r="BH118" s="340"/>
      <c r="BI118" s="340"/>
    </row>
    <row r="119" spans="1:61" ht="15.75" hidden="1" x14ac:dyDescent="0.2">
      <c r="A119" s="268"/>
      <c r="B119" s="105" t="s">
        <v>304</v>
      </c>
      <c r="C119" s="106">
        <f>NPV(Comparaison!$C$89,Comparaison!C110:N110)</f>
        <v>0</v>
      </c>
      <c r="D119" s="106">
        <f>NPV(Comparaison!$C$89,Comparaison!O110:Z110)</f>
        <v>0</v>
      </c>
      <c r="E119" s="106">
        <f>NPV(Comparaison!$C$89,Comparaison!AA110:AL110)</f>
        <v>0</v>
      </c>
      <c r="F119" s="200"/>
      <c r="G119" s="200"/>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68"/>
      <c r="AN119" s="202"/>
      <c r="AO119" s="340"/>
      <c r="AP119" s="340"/>
      <c r="AQ119" s="340"/>
      <c r="AR119" s="340"/>
      <c r="AS119" s="340"/>
      <c r="AT119" s="340"/>
      <c r="AU119" s="340"/>
      <c r="AV119" s="340"/>
      <c r="AW119" s="340"/>
      <c r="AX119" s="340"/>
      <c r="AY119" s="340"/>
      <c r="AZ119" s="340"/>
      <c r="BA119" s="340"/>
      <c r="BB119" s="340"/>
      <c r="BC119" s="340"/>
      <c r="BD119" s="340"/>
      <c r="BE119" s="340"/>
      <c r="BF119" s="340"/>
      <c r="BG119" s="340"/>
      <c r="BH119" s="340"/>
      <c r="BI119" s="340"/>
    </row>
    <row r="120" spans="1:61" s="94" customFormat="1" x14ac:dyDescent="0.2">
      <c r="A120" s="268"/>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268"/>
      <c r="AK120" s="268"/>
      <c r="AL120" s="268"/>
      <c r="AM120" s="268"/>
      <c r="AN120" s="268"/>
      <c r="AO120" s="268"/>
      <c r="AP120" s="268"/>
      <c r="AQ120" s="268"/>
      <c r="AR120" s="268"/>
      <c r="AS120" s="268"/>
      <c r="AT120" s="268"/>
      <c r="AU120" s="268"/>
      <c r="AV120" s="268"/>
      <c r="AW120" s="268"/>
      <c r="AX120" s="268"/>
      <c r="AY120" s="268"/>
      <c r="AZ120" s="268"/>
      <c r="BA120" s="268"/>
      <c r="BB120" s="268"/>
      <c r="BC120" s="268"/>
      <c r="BD120" s="268"/>
      <c r="BE120" s="268"/>
      <c r="BF120" s="268"/>
      <c r="BG120" s="268"/>
      <c r="BH120" s="268"/>
      <c r="BI120" s="268"/>
    </row>
    <row r="121" spans="1:61" hidden="1" x14ac:dyDescent="0.2">
      <c r="A121" s="268"/>
      <c r="B121" s="340"/>
      <c r="C121" s="381"/>
      <c r="D121" s="381"/>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c r="AM121" s="268"/>
      <c r="AN121" s="202"/>
      <c r="AO121" s="340"/>
      <c r="AP121" s="340"/>
      <c r="AQ121" s="340"/>
      <c r="AR121" s="340"/>
      <c r="AS121" s="340"/>
      <c r="AT121" s="340"/>
      <c r="AU121" s="340"/>
      <c r="AV121" s="340"/>
      <c r="AW121" s="340"/>
      <c r="AX121" s="340"/>
      <c r="AY121" s="340"/>
      <c r="AZ121" s="340"/>
      <c r="BA121" s="340"/>
      <c r="BB121" s="340"/>
      <c r="BC121" s="340"/>
      <c r="BD121" s="340"/>
      <c r="BE121" s="340"/>
      <c r="BF121" s="340"/>
      <c r="BG121" s="340"/>
      <c r="BH121" s="340"/>
      <c r="BI121" s="340"/>
    </row>
    <row r="122" spans="1:61" hidden="1" x14ac:dyDescent="0.2">
      <c r="A122" s="268"/>
      <c r="B122" s="340"/>
      <c r="C122" s="381"/>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M122" s="268"/>
      <c r="AN122" s="202"/>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row>
    <row r="123" spans="1:61" hidden="1" x14ac:dyDescent="0.2">
      <c r="A123" s="268"/>
      <c r="B123" s="340"/>
      <c r="C123" s="382"/>
      <c r="D123" s="382"/>
      <c r="E123" s="382"/>
      <c r="F123" s="382"/>
      <c r="G123" s="382"/>
      <c r="H123" s="382"/>
      <c r="I123" s="382"/>
      <c r="J123" s="382"/>
      <c r="K123" s="382"/>
      <c r="L123" s="340"/>
      <c r="M123" s="340"/>
      <c r="N123" s="340"/>
      <c r="O123" s="340"/>
      <c r="P123" s="340"/>
      <c r="Q123" s="340"/>
      <c r="R123" s="340"/>
      <c r="S123" s="340"/>
      <c r="T123" s="340"/>
      <c r="U123" s="340"/>
      <c r="V123" s="340"/>
      <c r="W123" s="340"/>
      <c r="X123" s="340"/>
      <c r="Y123" s="340"/>
      <c r="Z123" s="340"/>
      <c r="AM123" s="268"/>
      <c r="AN123" s="202"/>
      <c r="AO123" s="340"/>
      <c r="AP123" s="340"/>
      <c r="AQ123" s="340"/>
      <c r="AR123" s="340"/>
      <c r="AS123" s="340"/>
      <c r="AT123" s="340"/>
      <c r="AU123" s="340"/>
      <c r="AV123" s="340"/>
      <c r="AW123" s="340"/>
      <c r="AX123" s="340"/>
      <c r="AY123" s="340"/>
      <c r="AZ123" s="340"/>
      <c r="BA123" s="340"/>
      <c r="BB123" s="340"/>
      <c r="BC123" s="340"/>
      <c r="BD123" s="340"/>
      <c r="BE123" s="340"/>
      <c r="BF123" s="340"/>
      <c r="BG123" s="340"/>
      <c r="BH123" s="340"/>
      <c r="BI123" s="340"/>
    </row>
    <row r="124" spans="1:61" hidden="1" x14ac:dyDescent="0.2">
      <c r="A124" s="268"/>
      <c r="B124" s="340"/>
      <c r="C124" s="382"/>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c r="AM124" s="268"/>
      <c r="AN124" s="202"/>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row>
    <row r="127" spans="1:61" hidden="1" x14ac:dyDescent="0.2">
      <c r="A127" s="268"/>
      <c r="B127" s="340"/>
      <c r="C127" s="382"/>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c r="AM127" s="268"/>
      <c r="AN127" s="202"/>
      <c r="AO127" s="340"/>
      <c r="AP127" s="340"/>
      <c r="AQ127" s="340"/>
      <c r="AR127" s="340"/>
      <c r="AS127" s="340"/>
      <c r="AT127" s="340"/>
      <c r="AU127" s="340"/>
      <c r="AV127" s="340"/>
      <c r="AW127" s="340"/>
      <c r="AX127" s="340"/>
      <c r="AY127" s="340"/>
      <c r="AZ127" s="340"/>
      <c r="BA127" s="340"/>
      <c r="BB127" s="340"/>
      <c r="BC127" s="340"/>
      <c r="BD127" s="340"/>
      <c r="BE127" s="340"/>
      <c r="BF127" s="340"/>
      <c r="BG127" s="340"/>
      <c r="BH127" s="340"/>
      <c r="BI127" s="340"/>
    </row>
    <row r="128" spans="1:61" ht="30" hidden="1" customHeight="1" x14ac:dyDescent="0.2">
      <c r="A128" s="268"/>
      <c r="B128" s="340"/>
      <c r="C128" s="382"/>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M128" s="268"/>
      <c r="AN128" s="202"/>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row>
    <row r="140" spans="1:61" hidden="1" x14ac:dyDescent="0.2">
      <c r="A140" s="268"/>
      <c r="B140" s="340"/>
      <c r="C140" s="340"/>
      <c r="D140" s="381"/>
      <c r="E140" s="340"/>
      <c r="F140" s="340"/>
      <c r="G140" s="340"/>
      <c r="H140" s="340"/>
      <c r="I140" s="340"/>
      <c r="J140" s="340"/>
      <c r="K140" s="340"/>
      <c r="L140" s="340"/>
      <c r="M140" s="340"/>
      <c r="N140" s="340"/>
      <c r="O140" s="340"/>
      <c r="P140" s="340"/>
      <c r="Q140" s="340"/>
      <c r="R140" s="340"/>
      <c r="S140" s="340"/>
      <c r="T140" s="340"/>
      <c r="U140" s="340"/>
      <c r="V140" s="340"/>
      <c r="W140" s="340"/>
      <c r="X140" s="340"/>
      <c r="Y140" s="340"/>
      <c r="Z140" s="340"/>
      <c r="AM140" s="268"/>
      <c r="AN140" s="202"/>
      <c r="AO140" s="340"/>
      <c r="AP140" s="340"/>
      <c r="AQ140" s="340"/>
      <c r="AR140" s="340"/>
      <c r="AS140" s="340"/>
      <c r="AT140" s="340"/>
      <c r="AU140" s="340"/>
      <c r="AV140" s="340"/>
      <c r="AW140" s="340"/>
      <c r="AX140" s="340"/>
      <c r="AY140" s="340"/>
      <c r="AZ140" s="340"/>
      <c r="BA140" s="340"/>
      <c r="BB140" s="340"/>
      <c r="BC140" s="340"/>
      <c r="BD140" s="340"/>
      <c r="BE140" s="340"/>
      <c r="BF140" s="340"/>
      <c r="BG140" s="340"/>
      <c r="BH140" s="340"/>
      <c r="BI140" s="340"/>
    </row>
    <row r="141" spans="1:61" hidden="1" x14ac:dyDescent="0.2">
      <c r="A141" s="268"/>
      <c r="B141" s="340"/>
      <c r="C141" s="340"/>
      <c r="D141" s="340"/>
      <c r="E141" s="340"/>
      <c r="F141" s="340"/>
      <c r="G141" s="340"/>
      <c r="H141" s="340"/>
      <c r="I141" s="340"/>
      <c r="J141" s="340"/>
      <c r="K141" s="340"/>
      <c r="L141" s="340"/>
      <c r="M141" s="340"/>
      <c r="N141" s="340"/>
      <c r="O141" s="340"/>
      <c r="P141" s="340"/>
      <c r="Q141" s="340"/>
      <c r="R141" s="340"/>
      <c r="S141" s="340"/>
      <c r="T141" s="340"/>
      <c r="U141" s="340"/>
      <c r="V141" s="340"/>
      <c r="W141" s="340"/>
      <c r="X141" s="340"/>
      <c r="Y141" s="340"/>
      <c r="Z141" s="340"/>
      <c r="AM141" s="268"/>
      <c r="AN141" s="202"/>
      <c r="AO141" s="340"/>
      <c r="AP141" s="340"/>
      <c r="AQ141" s="340"/>
      <c r="AR141" s="340"/>
      <c r="AS141" s="340"/>
      <c r="AT141" s="340"/>
      <c r="AU141" s="340"/>
      <c r="AV141" s="340"/>
      <c r="AW141" s="340"/>
      <c r="AX141" s="340"/>
      <c r="AY141" s="340"/>
      <c r="AZ141" s="340"/>
      <c r="BA141" s="340"/>
      <c r="BB141" s="340"/>
      <c r="BC141" s="340"/>
      <c r="BD141" s="340"/>
      <c r="BE141" s="340"/>
      <c r="BF141" s="340"/>
      <c r="BG141" s="340"/>
      <c r="BH141" s="340"/>
      <c r="BI141" s="340"/>
    </row>
  </sheetData>
  <mergeCells count="1">
    <mergeCell ref="B12:T12"/>
  </mergeCells>
  <conditionalFormatting sqref="C39:AL39 C42:AL42">
    <cfRule type="containsBlanks" dxfId="9" priority="90">
      <formula>LEN(TRIM(C39))=0</formula>
    </cfRule>
  </conditionalFormatting>
  <conditionalFormatting sqref="C45:AL45">
    <cfRule type="containsBlanks" dxfId="8" priority="89">
      <formula>LEN(TRIM(C45))=0</formula>
    </cfRule>
  </conditionalFormatting>
  <conditionalFormatting sqref="C48:AL48">
    <cfRule type="containsBlanks" dxfId="7" priority="87">
      <formula>LEN(TRIM(C48))=0</formula>
    </cfRule>
  </conditionalFormatting>
  <conditionalFormatting sqref="C51:AL51">
    <cfRule type="containsBlanks" dxfId="6" priority="85">
      <formula>LEN(TRIM(C51))=0</formula>
    </cfRule>
  </conditionalFormatting>
  <conditionalFormatting sqref="C54:AL54">
    <cfRule type="containsBlanks" dxfId="5" priority="2">
      <formula>LEN(TRIM(C54))=0</formula>
    </cfRule>
  </conditionalFormatting>
  <conditionalFormatting sqref="C69:AL69">
    <cfRule type="containsBlanks" dxfId="4" priority="83">
      <formula>LEN(TRIM(C69))=0</formula>
    </cfRule>
  </conditionalFormatting>
  <conditionalFormatting sqref="C106:AL106 C109:AL109">
    <cfRule type="containsBlanks" dxfId="3" priority="73">
      <formula>LEN(TRIM(C106))=0</formula>
    </cfRule>
  </conditionalFormatting>
  <conditionalFormatting sqref="D87:D88">
    <cfRule type="containsBlanks" dxfId="2" priority="79">
      <formula>LEN(TRIM(D87))=0</formula>
    </cfRule>
  </conditionalFormatting>
  <conditionalFormatting sqref="J10:J11">
    <cfRule type="containsBlanks" dxfId="1" priority="77">
      <formula>LEN(TRIM(J10))=0</formula>
    </cfRule>
  </conditionalFormatting>
  <dataValidations count="1">
    <dataValidation type="list" allowBlank="1" showInputMessage="1" showErrorMessage="1" sqref="AN62" xr:uid="{00000000-0002-0000-0400-000000000000}">
      <formula1>$AN$58:$AN$60</formula1>
    </dataValidation>
  </dataValidations>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iconSet" priority="72" id="{00149075-47D7-4F04-8784-E9D35367E038}">
            <x14:iconSet iconSet="3Symbols" custom="1">
              <x14:cfvo type="percent">
                <xm:f>0</xm:f>
              </x14:cfvo>
              <x14:cfvo type="num">
                <xm:f>0</xm:f>
              </x14:cfvo>
              <x14:cfvo type="num">
                <xm:f>0</xm:f>
              </x14:cfvo>
              <x14:cfIcon iconSet="3Symbols" iconId="2"/>
              <x14:cfIcon iconSet="3Symbols" iconId="2"/>
              <x14:cfIcon iconSet="3Symbols" iconId="2"/>
            </x14:iconSet>
          </x14:cfRule>
          <xm:sqref>C54</xm:sqref>
        </x14:conditionalFormatting>
        <x14:conditionalFormatting xmlns:xm="http://schemas.microsoft.com/office/excel/2006/main">
          <x14:cfRule type="iconSet" priority="146" id="{DBE9EC0A-1754-4B90-A51E-9D0B2F0A9BDC}">
            <x14:iconSet iconSet="3Symbols" custom="1">
              <x14:cfvo type="percent">
                <xm:f>0</xm:f>
              </x14:cfvo>
              <x14:cfvo type="num">
                <xm:f>0</xm:f>
              </x14:cfvo>
              <x14:cfvo type="num">
                <xm:f>0</xm:f>
              </x14:cfvo>
              <x14:cfIcon iconSet="3Symbols" iconId="2"/>
              <x14:cfIcon iconSet="3Symbols" iconId="2"/>
              <x14:cfIcon iconSet="3Symbols" iconId="2"/>
            </x14:iconSet>
          </x14:cfRule>
          <xm:sqref>C39:N39</xm:sqref>
        </x14:conditionalFormatting>
        <x14:conditionalFormatting xmlns:xm="http://schemas.microsoft.com/office/excel/2006/main">
          <x14:cfRule type="iconSet" priority="143" id="{9BFFD45D-F010-4C00-AC33-C563A41CBBE0}">
            <x14:iconSet iconSet="3Symbols" custom="1">
              <x14:cfvo type="percent">
                <xm:f>0</xm:f>
              </x14:cfvo>
              <x14:cfvo type="num">
                <xm:f>0</xm:f>
              </x14:cfvo>
              <x14:cfvo type="num">
                <xm:f>0</xm:f>
              </x14:cfvo>
              <x14:cfIcon iconSet="3Symbols" iconId="2"/>
              <x14:cfIcon iconSet="3Symbols" iconId="2"/>
              <x14:cfIcon iconSet="3Symbols" iconId="2"/>
            </x14:iconSet>
          </x14:cfRule>
          <xm:sqref>C42:N42</xm:sqref>
        </x14:conditionalFormatting>
        <x14:conditionalFormatting xmlns:xm="http://schemas.microsoft.com/office/excel/2006/main">
          <x14:cfRule type="iconSet" priority="132" id="{D9550063-0D99-41E9-AFD3-66CAA524B252}">
            <x14:iconSet iconSet="3Symbols" custom="1">
              <x14:cfvo type="percent">
                <xm:f>0</xm:f>
              </x14:cfvo>
              <x14:cfvo type="num">
                <xm:f>0</xm:f>
              </x14:cfvo>
              <x14:cfvo type="num">
                <xm:f>0</xm:f>
              </x14:cfvo>
              <x14:cfIcon iconSet="3Symbols" iconId="2"/>
              <x14:cfIcon iconSet="3Symbols" iconId="2"/>
              <x14:cfIcon iconSet="3Symbols" iconId="2"/>
            </x14:iconSet>
          </x14:cfRule>
          <xm:sqref>C45:N45</xm:sqref>
        </x14:conditionalFormatting>
        <x14:conditionalFormatting xmlns:xm="http://schemas.microsoft.com/office/excel/2006/main">
          <x14:cfRule type="iconSet" priority="126" id="{938CBA40-F59A-495A-A294-EFB615A34175}">
            <x14:iconSet iconSet="3Symbols" custom="1">
              <x14:cfvo type="percent">
                <xm:f>0</xm:f>
              </x14:cfvo>
              <x14:cfvo type="num">
                <xm:f>0</xm:f>
              </x14:cfvo>
              <x14:cfvo type="num">
                <xm:f>0</xm:f>
              </x14:cfvo>
              <x14:cfIcon iconSet="3Symbols" iconId="2"/>
              <x14:cfIcon iconSet="3Symbols" iconId="2"/>
              <x14:cfIcon iconSet="3Symbols" iconId="2"/>
            </x14:iconSet>
          </x14:cfRule>
          <xm:sqref>C48:N48</xm:sqref>
        </x14:conditionalFormatting>
        <x14:conditionalFormatting xmlns:xm="http://schemas.microsoft.com/office/excel/2006/main">
          <x14:cfRule type="iconSet" priority="120" id="{697CB8EB-7CAA-4A77-B4EE-69D7B56957EA}">
            <x14:iconSet iconSet="3Symbols" custom="1">
              <x14:cfvo type="percent">
                <xm:f>0</xm:f>
              </x14:cfvo>
              <x14:cfvo type="num">
                <xm:f>0</xm:f>
              </x14:cfvo>
              <x14:cfvo type="num">
                <xm:f>0</xm:f>
              </x14:cfvo>
              <x14:cfIcon iconSet="3Symbols" iconId="2"/>
              <x14:cfIcon iconSet="3Symbols" iconId="2"/>
              <x14:cfIcon iconSet="3Symbols" iconId="2"/>
            </x14:iconSet>
          </x14:cfRule>
          <xm:sqref>C51:N51</xm:sqref>
        </x14:conditionalFormatting>
        <x14:conditionalFormatting xmlns:xm="http://schemas.microsoft.com/office/excel/2006/main">
          <x14:cfRule type="iconSet" priority="82" id="{701DF1F5-9278-44F0-80A3-EE763560F389}">
            <x14:iconSet iconSet="3Symbols" custom="1">
              <x14:cfvo type="percent">
                <xm:f>0</xm:f>
              </x14:cfvo>
              <x14:cfvo type="num">
                <xm:f>0</xm:f>
              </x14:cfvo>
              <x14:cfvo type="num">
                <xm:f>0</xm:f>
              </x14:cfvo>
              <x14:cfIcon iconSet="3Symbols" iconId="2"/>
              <x14:cfIcon iconSet="3Symbols" iconId="2"/>
              <x14:cfIcon iconSet="3Symbols" iconId="2"/>
            </x14:iconSet>
          </x14:cfRule>
          <xm:sqref>C69:AL69</xm:sqref>
        </x14:conditionalFormatting>
        <x14:conditionalFormatting xmlns:xm="http://schemas.microsoft.com/office/excel/2006/main">
          <x14:cfRule type="iconSet" priority="74" id="{B9A351DC-7F6D-4B11-BEA0-54DB2F403145}">
            <x14:iconSet iconSet="3Symbols" custom="1">
              <x14:cfvo type="percent">
                <xm:f>0</xm:f>
              </x14:cfvo>
              <x14:cfvo type="num">
                <xm:f>0</xm:f>
              </x14:cfvo>
              <x14:cfvo type="num">
                <xm:f>0</xm:f>
              </x14:cfvo>
              <x14:cfIcon iconSet="3Symbols" iconId="2"/>
              <x14:cfIcon iconSet="3Symbols" iconId="2"/>
              <x14:cfIcon iconSet="3Symbols" iconId="2"/>
            </x14:iconSet>
          </x14:cfRule>
          <xm:sqref>C106:AL106</xm:sqref>
        </x14:conditionalFormatting>
        <x14:conditionalFormatting xmlns:xm="http://schemas.microsoft.com/office/excel/2006/main">
          <x14:cfRule type="iconSet" priority="75" id="{C209387F-EB33-4AA4-B7C3-2CBD55D49686}">
            <x14:iconSet iconSet="3Symbols" custom="1">
              <x14:cfvo type="percent">
                <xm:f>0</xm:f>
              </x14:cfvo>
              <x14:cfvo type="num">
                <xm:f>0</xm:f>
              </x14:cfvo>
              <x14:cfvo type="num">
                <xm:f>0</xm:f>
              </x14:cfvo>
              <x14:cfIcon iconSet="3Symbols" iconId="2"/>
              <x14:cfIcon iconSet="3Symbols" iconId="2"/>
              <x14:cfIcon iconSet="3Symbols" iconId="2"/>
            </x14:iconSet>
          </x14:cfRule>
          <xm:sqref>C109:AL109</xm:sqref>
        </x14:conditionalFormatting>
        <x14:conditionalFormatting xmlns:xm="http://schemas.microsoft.com/office/excel/2006/main">
          <x14:cfRule type="iconSet" priority="70" id="{9B02ECF2-517A-4585-9A6B-E35D4C323B55}">
            <x14:iconSet iconSet="3Symbols" custom="1">
              <x14:cfvo type="percent">
                <xm:f>0</xm:f>
              </x14:cfvo>
              <x14:cfvo type="num">
                <xm:f>0</xm:f>
              </x14:cfvo>
              <x14:cfvo type="num">
                <xm:f>0</xm:f>
              </x14:cfvo>
              <x14:cfIcon iconSet="3Symbols" iconId="2"/>
              <x14:cfIcon iconSet="3Symbols" iconId="2"/>
              <x14:cfIcon iconSet="3Symbols" iconId="2"/>
            </x14:iconSet>
          </x14:cfRule>
          <xm:sqref>D54</xm:sqref>
        </x14:conditionalFormatting>
        <x14:conditionalFormatting xmlns:xm="http://schemas.microsoft.com/office/excel/2006/main">
          <x14:cfRule type="iconSet" priority="80" id="{8C3B0DFA-0E65-40D7-B9F9-0D5A74D49359}">
            <x14:iconSet iconSet="3Symbols" custom="1">
              <x14:cfvo type="percent">
                <xm:f>0</xm:f>
              </x14:cfvo>
              <x14:cfvo type="num">
                <xm:f>0</xm:f>
              </x14:cfvo>
              <x14:cfvo type="num">
                <xm:f>0</xm:f>
              </x14:cfvo>
              <x14:cfIcon iconSet="3Symbols" iconId="2"/>
              <x14:cfIcon iconSet="3Symbols" iconId="2"/>
              <x14:cfIcon iconSet="3Symbols" iconId="2"/>
            </x14:iconSet>
          </x14:cfRule>
          <xm:sqref>D87</xm:sqref>
        </x14:conditionalFormatting>
        <x14:conditionalFormatting xmlns:xm="http://schemas.microsoft.com/office/excel/2006/main">
          <x14:cfRule type="iconSet" priority="78" id="{EC9E78B8-EF94-4502-A411-56119BF92519}">
            <x14:iconSet iconSet="3Symbols" custom="1">
              <x14:cfvo type="percent">
                <xm:f>0</xm:f>
              </x14:cfvo>
              <x14:cfvo type="num">
                <xm:f>0</xm:f>
              </x14:cfvo>
              <x14:cfvo type="num">
                <xm:f>0</xm:f>
              </x14:cfvo>
              <x14:cfIcon iconSet="3Symbols" iconId="2"/>
              <x14:cfIcon iconSet="3Symbols" iconId="2"/>
              <x14:cfIcon iconSet="3Symbols" iconId="2"/>
            </x14:iconSet>
          </x14:cfRule>
          <xm:sqref>D88</xm:sqref>
        </x14:conditionalFormatting>
        <x14:conditionalFormatting xmlns:xm="http://schemas.microsoft.com/office/excel/2006/main">
          <x14:cfRule type="iconSet" priority="68" id="{79BA854C-E456-48C5-82BD-B3C14DC4B626}">
            <x14:iconSet iconSet="3Symbols" custom="1">
              <x14:cfvo type="percent">
                <xm:f>0</xm:f>
              </x14:cfvo>
              <x14:cfvo type="num">
                <xm:f>0</xm:f>
              </x14:cfvo>
              <x14:cfvo type="num">
                <xm:f>0</xm:f>
              </x14:cfvo>
              <x14:cfIcon iconSet="3Symbols" iconId="2"/>
              <x14:cfIcon iconSet="3Symbols" iconId="2"/>
              <x14:cfIcon iconSet="3Symbols" iconId="2"/>
            </x14:iconSet>
          </x14:cfRule>
          <xm:sqref>E54</xm:sqref>
        </x14:conditionalFormatting>
        <x14:conditionalFormatting xmlns:xm="http://schemas.microsoft.com/office/excel/2006/main">
          <x14:cfRule type="iconSet" priority="66" id="{DBC806B2-40E4-4104-8A22-AC487E156CFB}">
            <x14:iconSet iconSet="3Symbols" custom="1">
              <x14:cfvo type="percent">
                <xm:f>0</xm:f>
              </x14:cfvo>
              <x14:cfvo type="num">
                <xm:f>0</xm:f>
              </x14:cfvo>
              <x14:cfvo type="num">
                <xm:f>0</xm:f>
              </x14:cfvo>
              <x14:cfIcon iconSet="3Symbols" iconId="2"/>
              <x14:cfIcon iconSet="3Symbols" iconId="2"/>
              <x14:cfIcon iconSet="3Symbols" iconId="2"/>
            </x14:iconSet>
          </x14:cfRule>
          <xm:sqref>F54</xm:sqref>
        </x14:conditionalFormatting>
        <x14:conditionalFormatting xmlns:xm="http://schemas.microsoft.com/office/excel/2006/main">
          <x14:cfRule type="iconSet" priority="64" id="{F500D2F5-EDE3-489B-99B9-392CFC8FC1D1}">
            <x14:iconSet iconSet="3Symbols" custom="1">
              <x14:cfvo type="percent">
                <xm:f>0</xm:f>
              </x14:cfvo>
              <x14:cfvo type="num">
                <xm:f>0</xm:f>
              </x14:cfvo>
              <x14:cfvo type="num">
                <xm:f>0</xm:f>
              </x14:cfvo>
              <x14:cfIcon iconSet="3Symbols" iconId="2"/>
              <x14:cfIcon iconSet="3Symbols" iconId="2"/>
              <x14:cfIcon iconSet="3Symbols" iconId="2"/>
            </x14:iconSet>
          </x14:cfRule>
          <xm:sqref>G54</xm:sqref>
        </x14:conditionalFormatting>
        <x14:conditionalFormatting xmlns:xm="http://schemas.microsoft.com/office/excel/2006/main">
          <x14:cfRule type="iconSet" priority="62" id="{2566D0D1-FD29-46DD-8F76-EB254ABF2767}">
            <x14:iconSet iconSet="3Symbols" custom="1">
              <x14:cfvo type="percent">
                <xm:f>0</xm:f>
              </x14:cfvo>
              <x14:cfvo type="num">
                <xm:f>0</xm:f>
              </x14:cfvo>
              <x14:cfvo type="num">
                <xm:f>0</xm:f>
              </x14:cfvo>
              <x14:cfIcon iconSet="3Symbols" iconId="2"/>
              <x14:cfIcon iconSet="3Symbols" iconId="2"/>
              <x14:cfIcon iconSet="3Symbols" iconId="2"/>
            </x14:iconSet>
          </x14:cfRule>
          <xm:sqref>H54</xm:sqref>
        </x14:conditionalFormatting>
        <x14:conditionalFormatting xmlns:xm="http://schemas.microsoft.com/office/excel/2006/main">
          <x14:cfRule type="iconSet" priority="60" id="{65004874-13F9-4E92-90B3-929A2FCE41AE}">
            <x14:iconSet iconSet="3Symbols" custom="1">
              <x14:cfvo type="percent">
                <xm:f>0</xm:f>
              </x14:cfvo>
              <x14:cfvo type="num">
                <xm:f>0</xm:f>
              </x14:cfvo>
              <x14:cfvo type="num">
                <xm:f>0</xm:f>
              </x14:cfvo>
              <x14:cfIcon iconSet="3Symbols" iconId="2"/>
              <x14:cfIcon iconSet="3Symbols" iconId="2"/>
              <x14:cfIcon iconSet="3Symbols" iconId="2"/>
            </x14:iconSet>
          </x14:cfRule>
          <xm:sqref>I54</xm:sqref>
        </x14:conditionalFormatting>
        <x14:conditionalFormatting xmlns:xm="http://schemas.microsoft.com/office/excel/2006/main">
          <x14:cfRule type="iconSet" priority="76" id="{BAEFD645-84AE-4C3E-BD0A-2E09B7AA55BB}">
            <x14:iconSet iconSet="3Symbols" custom="1">
              <x14:cfvo type="percent">
                <xm:f>0</xm:f>
              </x14:cfvo>
              <x14:cfvo type="num">
                <xm:f>0</xm:f>
              </x14:cfvo>
              <x14:cfvo type="num">
                <xm:f>0</xm:f>
              </x14:cfvo>
              <x14:cfIcon iconSet="3Symbols" iconId="2"/>
              <x14:cfIcon iconSet="3Symbols" iconId="2"/>
              <x14:cfIcon iconSet="3Symbols" iconId="2"/>
            </x14:iconSet>
          </x14:cfRule>
          <xm:sqref>J10:J11</xm:sqref>
        </x14:conditionalFormatting>
        <x14:conditionalFormatting xmlns:xm="http://schemas.microsoft.com/office/excel/2006/main">
          <x14:cfRule type="iconSet" priority="58" id="{4EC2C9FD-AA87-4EAF-AE8D-FB3B5368B6F3}">
            <x14:iconSet iconSet="3Symbols" custom="1">
              <x14:cfvo type="percent">
                <xm:f>0</xm:f>
              </x14:cfvo>
              <x14:cfvo type="num">
                <xm:f>0</xm:f>
              </x14:cfvo>
              <x14:cfvo type="num">
                <xm:f>0</xm:f>
              </x14:cfvo>
              <x14:cfIcon iconSet="3Symbols" iconId="2"/>
              <x14:cfIcon iconSet="3Symbols" iconId="2"/>
              <x14:cfIcon iconSet="3Symbols" iconId="2"/>
            </x14:iconSet>
          </x14:cfRule>
          <xm:sqref>J54</xm:sqref>
        </x14:conditionalFormatting>
        <x14:conditionalFormatting xmlns:xm="http://schemas.microsoft.com/office/excel/2006/main">
          <x14:cfRule type="iconSet" priority="56" id="{09D1FBE8-7313-423D-9710-7619D1E590AF}">
            <x14:iconSet iconSet="3Symbols" custom="1">
              <x14:cfvo type="percent">
                <xm:f>0</xm:f>
              </x14:cfvo>
              <x14:cfvo type="num">
                <xm:f>0</xm:f>
              </x14:cfvo>
              <x14:cfvo type="num">
                <xm:f>0</xm:f>
              </x14:cfvo>
              <x14:cfIcon iconSet="3Symbols" iconId="2"/>
              <x14:cfIcon iconSet="3Symbols" iconId="2"/>
              <x14:cfIcon iconSet="3Symbols" iconId="2"/>
            </x14:iconSet>
          </x14:cfRule>
          <xm:sqref>K54</xm:sqref>
        </x14:conditionalFormatting>
        <x14:conditionalFormatting xmlns:xm="http://schemas.microsoft.com/office/excel/2006/main">
          <x14:cfRule type="iconSet" priority="54" id="{8F6191EA-0D36-488C-85E2-4448FE29CAAC}">
            <x14:iconSet iconSet="3Symbols" custom="1">
              <x14:cfvo type="percent">
                <xm:f>0</xm:f>
              </x14:cfvo>
              <x14:cfvo type="num">
                <xm:f>0</xm:f>
              </x14:cfvo>
              <x14:cfvo type="num">
                <xm:f>0</xm:f>
              </x14:cfvo>
              <x14:cfIcon iconSet="3Symbols" iconId="2"/>
              <x14:cfIcon iconSet="3Symbols" iconId="2"/>
              <x14:cfIcon iconSet="3Symbols" iconId="2"/>
            </x14:iconSet>
          </x14:cfRule>
          <xm:sqref>L54</xm:sqref>
        </x14:conditionalFormatting>
        <x14:conditionalFormatting xmlns:xm="http://schemas.microsoft.com/office/excel/2006/main">
          <x14:cfRule type="iconSet" priority="52" id="{B7FE5166-2AC0-4BBA-AA23-2CBF34788F5C}">
            <x14:iconSet iconSet="3Symbols" custom="1">
              <x14:cfvo type="percent">
                <xm:f>0</xm:f>
              </x14:cfvo>
              <x14:cfvo type="num">
                <xm:f>0</xm:f>
              </x14:cfvo>
              <x14:cfvo type="num">
                <xm:f>0</xm:f>
              </x14:cfvo>
              <x14:cfIcon iconSet="3Symbols" iconId="2"/>
              <x14:cfIcon iconSet="3Symbols" iconId="2"/>
              <x14:cfIcon iconSet="3Symbols" iconId="2"/>
            </x14:iconSet>
          </x14:cfRule>
          <xm:sqref>M54</xm:sqref>
        </x14:conditionalFormatting>
        <x14:conditionalFormatting xmlns:xm="http://schemas.microsoft.com/office/excel/2006/main">
          <x14:cfRule type="iconSet" priority="50" id="{851383A1-7CFD-4EC8-BB1B-0A73C87B58DA}">
            <x14:iconSet iconSet="3Symbols" custom="1">
              <x14:cfvo type="percent">
                <xm:f>0</xm:f>
              </x14:cfvo>
              <x14:cfvo type="num">
                <xm:f>0</xm:f>
              </x14:cfvo>
              <x14:cfvo type="num">
                <xm:f>0</xm:f>
              </x14:cfvo>
              <x14:cfIcon iconSet="3Symbols" iconId="2"/>
              <x14:cfIcon iconSet="3Symbols" iconId="2"/>
              <x14:cfIcon iconSet="3Symbols" iconId="2"/>
            </x14:iconSet>
          </x14:cfRule>
          <xm:sqref>N54</xm:sqref>
        </x14:conditionalFormatting>
        <x14:conditionalFormatting xmlns:xm="http://schemas.microsoft.com/office/excel/2006/main">
          <x14:cfRule type="iconSet" priority="48" id="{0D41A843-64BC-4F12-9331-4D47AD92DEB3}">
            <x14:iconSet iconSet="3Symbols" custom="1">
              <x14:cfvo type="percent">
                <xm:f>0</xm:f>
              </x14:cfvo>
              <x14:cfvo type="num">
                <xm:f>0</xm:f>
              </x14:cfvo>
              <x14:cfvo type="num">
                <xm:f>0</xm:f>
              </x14:cfvo>
              <x14:cfIcon iconSet="3Symbols" iconId="2"/>
              <x14:cfIcon iconSet="3Symbols" iconId="2"/>
              <x14:cfIcon iconSet="3Symbols" iconId="2"/>
            </x14:iconSet>
          </x14:cfRule>
          <xm:sqref>O54</xm:sqref>
        </x14:conditionalFormatting>
        <x14:conditionalFormatting xmlns:xm="http://schemas.microsoft.com/office/excel/2006/main">
          <x14:cfRule type="iconSet" priority="130" id="{568BB33D-5695-4A5B-B913-BC315CF7307E}">
            <x14:iconSet iconSet="3Symbols" custom="1">
              <x14:cfvo type="percent">
                <xm:f>0</xm:f>
              </x14:cfvo>
              <x14:cfvo type="num">
                <xm:f>0</xm:f>
              </x14:cfvo>
              <x14:cfvo type="num">
                <xm:f>0</xm:f>
              </x14:cfvo>
              <x14:cfIcon iconSet="3Symbols" iconId="2"/>
              <x14:cfIcon iconSet="3Symbols" iconId="2"/>
              <x14:cfIcon iconSet="3Symbols" iconId="2"/>
            </x14:iconSet>
          </x14:cfRule>
          <xm:sqref>O45:Z45</xm:sqref>
        </x14:conditionalFormatting>
        <x14:conditionalFormatting xmlns:xm="http://schemas.microsoft.com/office/excel/2006/main">
          <x14:cfRule type="iconSet" priority="124" id="{D29F5524-2F29-4DD2-8308-1260652698B5}">
            <x14:iconSet iconSet="3Symbols" custom="1">
              <x14:cfvo type="percent">
                <xm:f>0</xm:f>
              </x14:cfvo>
              <x14:cfvo type="num">
                <xm:f>0</xm:f>
              </x14:cfvo>
              <x14:cfvo type="num">
                <xm:f>0</xm:f>
              </x14:cfvo>
              <x14:cfIcon iconSet="3Symbols" iconId="2"/>
              <x14:cfIcon iconSet="3Symbols" iconId="2"/>
              <x14:cfIcon iconSet="3Symbols" iconId="2"/>
            </x14:iconSet>
          </x14:cfRule>
          <xm:sqref>O48:Z48</xm:sqref>
        </x14:conditionalFormatting>
        <x14:conditionalFormatting xmlns:xm="http://schemas.microsoft.com/office/excel/2006/main">
          <x14:cfRule type="iconSet" priority="118" id="{D869F297-DF01-4530-92B2-0A1D44CEDE02}">
            <x14:iconSet iconSet="3Symbols" custom="1">
              <x14:cfvo type="percent">
                <xm:f>0</xm:f>
              </x14:cfvo>
              <x14:cfvo type="num">
                <xm:f>0</xm:f>
              </x14:cfvo>
              <x14:cfvo type="num">
                <xm:f>0</xm:f>
              </x14:cfvo>
              <x14:cfIcon iconSet="3Symbols" iconId="2"/>
              <x14:cfIcon iconSet="3Symbols" iconId="2"/>
              <x14:cfIcon iconSet="3Symbols" iconId="2"/>
            </x14:iconSet>
          </x14:cfRule>
          <xm:sqref>O51:Z51</xm:sqref>
        </x14:conditionalFormatting>
        <x14:conditionalFormatting xmlns:xm="http://schemas.microsoft.com/office/excel/2006/main">
          <x14:cfRule type="iconSet" priority="3096" id="{174573DC-2CE7-4188-9C47-46111B4298F0}">
            <x14:iconSet iconSet="3Symbols" custom="1">
              <x14:cfvo type="percent">
                <xm:f>0</xm:f>
              </x14:cfvo>
              <x14:cfvo type="num">
                <xm:f>0</xm:f>
              </x14:cfvo>
              <x14:cfvo type="num">
                <xm:f>0</xm:f>
              </x14:cfvo>
              <x14:cfIcon iconSet="3Symbols" iconId="2"/>
              <x14:cfIcon iconSet="3Symbols" iconId="2"/>
              <x14:cfIcon iconSet="3Symbols" iconId="2"/>
            </x14:iconSet>
          </x14:cfRule>
          <xm:sqref>O39:AD39</xm:sqref>
        </x14:conditionalFormatting>
        <x14:conditionalFormatting xmlns:xm="http://schemas.microsoft.com/office/excel/2006/main">
          <x14:cfRule type="iconSet" priority="3098" id="{CC219E89-613B-4147-81BE-D9D461F144AC}">
            <x14:iconSet iconSet="3Symbols" custom="1">
              <x14:cfvo type="percent">
                <xm:f>0</xm:f>
              </x14:cfvo>
              <x14:cfvo type="num">
                <xm:f>0</xm:f>
              </x14:cfvo>
              <x14:cfvo type="num">
                <xm:f>0</xm:f>
              </x14:cfvo>
              <x14:cfIcon iconSet="3Symbols" iconId="2"/>
              <x14:cfIcon iconSet="3Symbols" iconId="2"/>
              <x14:cfIcon iconSet="3Symbols" iconId="2"/>
            </x14:iconSet>
          </x14:cfRule>
          <xm:sqref>O42:AD42</xm:sqref>
        </x14:conditionalFormatting>
        <x14:conditionalFormatting xmlns:xm="http://schemas.microsoft.com/office/excel/2006/main">
          <x14:cfRule type="iconSet" priority="46" id="{8666F149-ACCA-44FC-810C-A23331779BB3}">
            <x14:iconSet iconSet="3Symbols" custom="1">
              <x14:cfvo type="percent">
                <xm:f>0</xm:f>
              </x14:cfvo>
              <x14:cfvo type="num">
                <xm:f>0</xm:f>
              </x14:cfvo>
              <x14:cfvo type="num">
                <xm:f>0</xm:f>
              </x14:cfvo>
              <x14:cfIcon iconSet="3Symbols" iconId="2"/>
              <x14:cfIcon iconSet="3Symbols" iconId="2"/>
              <x14:cfIcon iconSet="3Symbols" iconId="2"/>
            </x14:iconSet>
          </x14:cfRule>
          <xm:sqref>P54</xm:sqref>
        </x14:conditionalFormatting>
        <x14:conditionalFormatting xmlns:xm="http://schemas.microsoft.com/office/excel/2006/main">
          <x14:cfRule type="iconSet" priority="44" id="{4DC2512E-8987-419A-9862-5C8FD44D3D67}">
            <x14:iconSet iconSet="3Symbols" custom="1">
              <x14:cfvo type="percent">
                <xm:f>0</xm:f>
              </x14:cfvo>
              <x14:cfvo type="num">
                <xm:f>0</xm:f>
              </x14:cfvo>
              <x14:cfvo type="num">
                <xm:f>0</xm:f>
              </x14:cfvo>
              <x14:cfIcon iconSet="3Symbols" iconId="2"/>
              <x14:cfIcon iconSet="3Symbols" iconId="2"/>
              <x14:cfIcon iconSet="3Symbols" iconId="2"/>
            </x14:iconSet>
          </x14:cfRule>
          <xm:sqref>Q54</xm:sqref>
        </x14:conditionalFormatting>
        <x14:conditionalFormatting xmlns:xm="http://schemas.microsoft.com/office/excel/2006/main">
          <x14:cfRule type="iconSet" priority="42" id="{3B2FCBAE-668C-4C14-8DC1-30127B12FF8B}">
            <x14:iconSet iconSet="3Symbols" custom="1">
              <x14:cfvo type="percent">
                <xm:f>0</xm:f>
              </x14:cfvo>
              <x14:cfvo type="num">
                <xm:f>0</xm:f>
              </x14:cfvo>
              <x14:cfvo type="num">
                <xm:f>0</xm:f>
              </x14:cfvo>
              <x14:cfIcon iconSet="3Symbols" iconId="2"/>
              <x14:cfIcon iconSet="3Symbols" iconId="2"/>
              <x14:cfIcon iconSet="3Symbols" iconId="2"/>
            </x14:iconSet>
          </x14:cfRule>
          <xm:sqref>R54</xm:sqref>
        </x14:conditionalFormatting>
        <x14:conditionalFormatting xmlns:xm="http://schemas.microsoft.com/office/excel/2006/main">
          <x14:cfRule type="iconSet" priority="40" id="{EA519570-E5C3-42A2-8F93-8938A5FBBA8C}">
            <x14:iconSet iconSet="3Symbols" custom="1">
              <x14:cfvo type="percent">
                <xm:f>0</xm:f>
              </x14:cfvo>
              <x14:cfvo type="num">
                <xm:f>0</xm:f>
              </x14:cfvo>
              <x14:cfvo type="num">
                <xm:f>0</xm:f>
              </x14:cfvo>
              <x14:cfIcon iconSet="3Symbols" iconId="2"/>
              <x14:cfIcon iconSet="3Symbols" iconId="2"/>
              <x14:cfIcon iconSet="3Symbols" iconId="2"/>
            </x14:iconSet>
          </x14:cfRule>
          <xm:sqref>S54</xm:sqref>
        </x14:conditionalFormatting>
        <x14:conditionalFormatting xmlns:xm="http://schemas.microsoft.com/office/excel/2006/main">
          <x14:cfRule type="iconSet" priority="38" id="{A77B4A1A-774D-48DF-8ED8-3EEF32FA4B7B}">
            <x14:iconSet iconSet="3Symbols" custom="1">
              <x14:cfvo type="percent">
                <xm:f>0</xm:f>
              </x14:cfvo>
              <x14:cfvo type="num">
                <xm:f>0</xm:f>
              </x14:cfvo>
              <x14:cfvo type="num">
                <xm:f>0</xm:f>
              </x14:cfvo>
              <x14:cfIcon iconSet="3Symbols" iconId="2"/>
              <x14:cfIcon iconSet="3Symbols" iconId="2"/>
              <x14:cfIcon iconSet="3Symbols" iconId="2"/>
            </x14:iconSet>
          </x14:cfRule>
          <xm:sqref>T54</xm:sqref>
        </x14:conditionalFormatting>
        <x14:conditionalFormatting xmlns:xm="http://schemas.microsoft.com/office/excel/2006/main">
          <x14:cfRule type="iconSet" priority="36" id="{860F1512-19AA-43BB-9895-4CD342CA6FF7}">
            <x14:iconSet iconSet="3Symbols" custom="1">
              <x14:cfvo type="percent">
                <xm:f>0</xm:f>
              </x14:cfvo>
              <x14:cfvo type="num">
                <xm:f>0</xm:f>
              </x14:cfvo>
              <x14:cfvo type="num">
                <xm:f>0</xm:f>
              </x14:cfvo>
              <x14:cfIcon iconSet="3Symbols" iconId="2"/>
              <x14:cfIcon iconSet="3Symbols" iconId="2"/>
              <x14:cfIcon iconSet="3Symbols" iconId="2"/>
            </x14:iconSet>
          </x14:cfRule>
          <xm:sqref>U54</xm:sqref>
        </x14:conditionalFormatting>
        <x14:conditionalFormatting xmlns:xm="http://schemas.microsoft.com/office/excel/2006/main">
          <x14:cfRule type="iconSet" priority="34" id="{A72AB7DD-DFC7-4A54-8D2F-919D7A63D965}">
            <x14:iconSet iconSet="3Symbols" custom="1">
              <x14:cfvo type="percent">
                <xm:f>0</xm:f>
              </x14:cfvo>
              <x14:cfvo type="num">
                <xm:f>0</xm:f>
              </x14:cfvo>
              <x14:cfvo type="num">
                <xm:f>0</xm:f>
              </x14:cfvo>
              <x14:cfIcon iconSet="3Symbols" iconId="2"/>
              <x14:cfIcon iconSet="3Symbols" iconId="2"/>
              <x14:cfIcon iconSet="3Symbols" iconId="2"/>
            </x14:iconSet>
          </x14:cfRule>
          <xm:sqref>V54</xm:sqref>
        </x14:conditionalFormatting>
        <x14:conditionalFormatting xmlns:xm="http://schemas.microsoft.com/office/excel/2006/main">
          <x14:cfRule type="iconSet" priority="32" id="{E289B69F-F2A2-4434-AD97-C236CD5363AE}">
            <x14:iconSet iconSet="3Symbols" custom="1">
              <x14:cfvo type="percent">
                <xm:f>0</xm:f>
              </x14:cfvo>
              <x14:cfvo type="num">
                <xm:f>0</xm:f>
              </x14:cfvo>
              <x14:cfvo type="num">
                <xm:f>0</xm:f>
              </x14:cfvo>
              <x14:cfIcon iconSet="3Symbols" iconId="2"/>
              <x14:cfIcon iconSet="3Symbols" iconId="2"/>
              <x14:cfIcon iconSet="3Symbols" iconId="2"/>
            </x14:iconSet>
          </x14:cfRule>
          <xm:sqref>W54</xm:sqref>
        </x14:conditionalFormatting>
        <x14:conditionalFormatting xmlns:xm="http://schemas.microsoft.com/office/excel/2006/main">
          <x14:cfRule type="iconSet" priority="30" id="{F2976802-B15F-40F0-91C8-7B28431DD04A}">
            <x14:iconSet iconSet="3Symbols" custom="1">
              <x14:cfvo type="percent">
                <xm:f>0</xm:f>
              </x14:cfvo>
              <x14:cfvo type="num">
                <xm:f>0</xm:f>
              </x14:cfvo>
              <x14:cfvo type="num">
                <xm:f>0</xm:f>
              </x14:cfvo>
              <x14:cfIcon iconSet="3Symbols" iconId="2"/>
              <x14:cfIcon iconSet="3Symbols" iconId="2"/>
              <x14:cfIcon iconSet="3Symbols" iconId="2"/>
            </x14:iconSet>
          </x14:cfRule>
          <xm:sqref>X54</xm:sqref>
        </x14:conditionalFormatting>
        <x14:conditionalFormatting xmlns:xm="http://schemas.microsoft.com/office/excel/2006/main">
          <x14:cfRule type="iconSet" priority="28" id="{6DD6CE7E-A015-446B-911E-5B6627CEB482}">
            <x14:iconSet iconSet="3Symbols" custom="1">
              <x14:cfvo type="percent">
                <xm:f>0</xm:f>
              </x14:cfvo>
              <x14:cfvo type="num">
                <xm:f>0</xm:f>
              </x14:cfvo>
              <x14:cfvo type="num">
                <xm:f>0</xm:f>
              </x14:cfvo>
              <x14:cfIcon iconSet="3Symbols" iconId="2"/>
              <x14:cfIcon iconSet="3Symbols" iconId="2"/>
              <x14:cfIcon iconSet="3Symbols" iconId="2"/>
            </x14:iconSet>
          </x14:cfRule>
          <xm:sqref>Y54</xm:sqref>
        </x14:conditionalFormatting>
        <x14:conditionalFormatting xmlns:xm="http://schemas.microsoft.com/office/excel/2006/main">
          <x14:cfRule type="iconSet" priority="26" id="{C16EC4A8-E88C-4069-BBC5-61860EB2BC87}">
            <x14:iconSet iconSet="3Symbols" custom="1">
              <x14:cfvo type="percent">
                <xm:f>0</xm:f>
              </x14:cfvo>
              <x14:cfvo type="num">
                <xm:f>0</xm:f>
              </x14:cfvo>
              <x14:cfvo type="num">
                <xm:f>0</xm:f>
              </x14:cfvo>
              <x14:cfIcon iconSet="3Symbols" iconId="2"/>
              <x14:cfIcon iconSet="3Symbols" iconId="2"/>
              <x14:cfIcon iconSet="3Symbols" iconId="2"/>
            </x14:iconSet>
          </x14:cfRule>
          <xm:sqref>Z54</xm:sqref>
        </x14:conditionalFormatting>
        <x14:conditionalFormatting xmlns:xm="http://schemas.microsoft.com/office/excel/2006/main">
          <x14:cfRule type="iconSet" priority="24" id="{C22A3DCE-BAD5-42A1-AE54-F5827C3D1D12}">
            <x14:iconSet iconSet="3Symbols" custom="1">
              <x14:cfvo type="percent">
                <xm:f>0</xm:f>
              </x14:cfvo>
              <x14:cfvo type="num">
                <xm:f>0</xm:f>
              </x14:cfvo>
              <x14:cfvo type="num">
                <xm:f>0</xm:f>
              </x14:cfvo>
              <x14:cfIcon iconSet="3Symbols" iconId="2"/>
              <x14:cfIcon iconSet="3Symbols" iconId="2"/>
              <x14:cfIcon iconSet="3Symbols" iconId="2"/>
            </x14:iconSet>
          </x14:cfRule>
          <xm:sqref>AA54</xm:sqref>
        </x14:conditionalFormatting>
        <x14:conditionalFormatting xmlns:xm="http://schemas.microsoft.com/office/excel/2006/main">
          <x14:cfRule type="iconSet" priority="128" id="{494E5C59-4D18-4932-820D-311A6DCA3B84}">
            <x14:iconSet iconSet="3Symbols" custom="1">
              <x14:cfvo type="percent">
                <xm:f>0</xm:f>
              </x14:cfvo>
              <x14:cfvo type="num">
                <xm:f>0</xm:f>
              </x14:cfvo>
              <x14:cfvo type="num">
                <xm:f>0</xm:f>
              </x14:cfvo>
              <x14:cfIcon iconSet="3Symbols" iconId="2"/>
              <x14:cfIcon iconSet="3Symbols" iconId="2"/>
              <x14:cfIcon iconSet="3Symbols" iconId="2"/>
            </x14:iconSet>
          </x14:cfRule>
          <xm:sqref>AA45:AD45</xm:sqref>
        </x14:conditionalFormatting>
        <x14:conditionalFormatting xmlns:xm="http://schemas.microsoft.com/office/excel/2006/main">
          <x14:cfRule type="iconSet" priority="122" id="{26BCCE40-443B-4504-B258-A4E8651AA25A}">
            <x14:iconSet iconSet="3Symbols" custom="1">
              <x14:cfvo type="percent">
                <xm:f>0</xm:f>
              </x14:cfvo>
              <x14:cfvo type="num">
                <xm:f>0</xm:f>
              </x14:cfvo>
              <x14:cfvo type="num">
                <xm:f>0</xm:f>
              </x14:cfvo>
              <x14:cfIcon iconSet="3Symbols" iconId="2"/>
              <x14:cfIcon iconSet="3Symbols" iconId="2"/>
              <x14:cfIcon iconSet="3Symbols" iconId="2"/>
            </x14:iconSet>
          </x14:cfRule>
          <xm:sqref>AA48:AD48</xm:sqref>
        </x14:conditionalFormatting>
        <x14:conditionalFormatting xmlns:xm="http://schemas.microsoft.com/office/excel/2006/main">
          <x14:cfRule type="iconSet" priority="116" id="{33902BBD-63EA-4EB8-8FFA-2168B81A524B}">
            <x14:iconSet iconSet="3Symbols" custom="1">
              <x14:cfvo type="percent">
                <xm:f>0</xm:f>
              </x14:cfvo>
              <x14:cfvo type="num">
                <xm:f>0</xm:f>
              </x14:cfvo>
              <x14:cfvo type="num">
                <xm:f>0</xm:f>
              </x14:cfvo>
              <x14:cfIcon iconSet="3Symbols" iconId="2"/>
              <x14:cfIcon iconSet="3Symbols" iconId="2"/>
              <x14:cfIcon iconSet="3Symbols" iconId="2"/>
            </x14:iconSet>
          </x14:cfRule>
          <xm:sqref>AA51:AD51</xm:sqref>
        </x14:conditionalFormatting>
        <x14:conditionalFormatting xmlns:xm="http://schemas.microsoft.com/office/excel/2006/main">
          <x14:cfRule type="iconSet" priority="22" id="{0A1F5F9F-365F-49A2-8EEB-070810A1CED2}">
            <x14:iconSet iconSet="3Symbols" custom="1">
              <x14:cfvo type="percent">
                <xm:f>0</xm:f>
              </x14:cfvo>
              <x14:cfvo type="num">
                <xm:f>0</xm:f>
              </x14:cfvo>
              <x14:cfvo type="num">
                <xm:f>0</xm:f>
              </x14:cfvo>
              <x14:cfIcon iconSet="3Symbols" iconId="2"/>
              <x14:cfIcon iconSet="3Symbols" iconId="2"/>
              <x14:cfIcon iconSet="3Symbols" iconId="2"/>
            </x14:iconSet>
          </x14:cfRule>
          <xm:sqref>AB54</xm:sqref>
        </x14:conditionalFormatting>
        <x14:conditionalFormatting xmlns:xm="http://schemas.microsoft.com/office/excel/2006/main">
          <x14:cfRule type="iconSet" priority="20" id="{924B41FF-E163-4C35-A05C-1017B0412FB2}">
            <x14:iconSet iconSet="3Symbols" custom="1">
              <x14:cfvo type="percent">
                <xm:f>0</xm:f>
              </x14:cfvo>
              <x14:cfvo type="num">
                <xm:f>0</xm:f>
              </x14:cfvo>
              <x14:cfvo type="num">
                <xm:f>0</xm:f>
              </x14:cfvo>
              <x14:cfIcon iconSet="3Symbols" iconId="2"/>
              <x14:cfIcon iconSet="3Symbols" iconId="2"/>
              <x14:cfIcon iconSet="3Symbols" iconId="2"/>
            </x14:iconSet>
          </x14:cfRule>
          <xm:sqref>AC54</xm:sqref>
        </x14:conditionalFormatting>
        <x14:conditionalFormatting xmlns:xm="http://schemas.microsoft.com/office/excel/2006/main">
          <x14:cfRule type="iconSet" priority="18" id="{9F7FB85A-B3DF-40C8-88F1-BE906FD63C22}">
            <x14:iconSet iconSet="3Symbols" custom="1">
              <x14:cfvo type="percent">
                <xm:f>0</xm:f>
              </x14:cfvo>
              <x14:cfvo type="num">
                <xm:f>0</xm:f>
              </x14:cfvo>
              <x14:cfvo type="num">
                <xm:f>0</xm:f>
              </x14:cfvo>
              <x14:cfIcon iconSet="3Symbols" iconId="2"/>
              <x14:cfIcon iconSet="3Symbols" iconId="2"/>
              <x14:cfIcon iconSet="3Symbols" iconId="2"/>
            </x14:iconSet>
          </x14:cfRule>
          <xm:sqref>AD54</xm:sqref>
        </x14:conditionalFormatting>
        <x14:conditionalFormatting xmlns:xm="http://schemas.microsoft.com/office/excel/2006/main">
          <x14:cfRule type="iconSet" priority="105" id="{ABA392A1-32B2-4900-BD77-014AC71592C1}">
            <x14:iconSet iconSet="3Symbols" custom="1">
              <x14:cfvo type="percent">
                <xm:f>0</xm:f>
              </x14:cfvo>
              <x14:cfvo type="num">
                <xm:f>0</xm:f>
              </x14:cfvo>
              <x14:cfvo type="num">
                <xm:f>0</xm:f>
              </x14:cfvo>
              <x14:cfIcon iconSet="3Symbols" iconId="2"/>
              <x14:cfIcon iconSet="3Symbols" iconId="2"/>
              <x14:cfIcon iconSet="3Symbols" iconId="2"/>
            </x14:iconSet>
          </x14:cfRule>
          <xm:sqref>AE45</xm:sqref>
        </x14:conditionalFormatting>
        <x14:conditionalFormatting xmlns:xm="http://schemas.microsoft.com/office/excel/2006/main">
          <x14:cfRule type="iconSet" priority="102" id="{51C93528-BFC0-4640-8FDC-21CF833EEC12}">
            <x14:iconSet iconSet="3Symbols" custom="1">
              <x14:cfvo type="percent">
                <xm:f>0</xm:f>
              </x14:cfvo>
              <x14:cfvo type="num">
                <xm:f>0</xm:f>
              </x14:cfvo>
              <x14:cfvo type="num">
                <xm:f>0</xm:f>
              </x14:cfvo>
              <x14:cfIcon iconSet="3Symbols" iconId="2"/>
              <x14:cfIcon iconSet="3Symbols" iconId="2"/>
              <x14:cfIcon iconSet="3Symbols" iconId="2"/>
            </x14:iconSet>
          </x14:cfRule>
          <xm:sqref>AE48</xm:sqref>
        </x14:conditionalFormatting>
        <x14:conditionalFormatting xmlns:xm="http://schemas.microsoft.com/office/excel/2006/main">
          <x14:cfRule type="iconSet" priority="99" id="{DFC998EC-2E73-44CD-930D-88BC0D3EF8A6}">
            <x14:iconSet iconSet="3Symbols" custom="1">
              <x14:cfvo type="percent">
                <xm:f>0</xm:f>
              </x14:cfvo>
              <x14:cfvo type="num">
                <xm:f>0</xm:f>
              </x14:cfvo>
              <x14:cfvo type="num">
                <xm:f>0</xm:f>
              </x14:cfvo>
              <x14:cfIcon iconSet="3Symbols" iconId="2"/>
              <x14:cfIcon iconSet="3Symbols" iconId="2"/>
              <x14:cfIcon iconSet="3Symbols" iconId="2"/>
            </x14:iconSet>
          </x14:cfRule>
          <xm:sqref>AE51</xm:sqref>
        </x14:conditionalFormatting>
        <x14:conditionalFormatting xmlns:xm="http://schemas.microsoft.com/office/excel/2006/main">
          <x14:cfRule type="iconSet" priority="16" id="{D6B63B1F-B3D4-4DBD-9B4B-ED6E3298C119}">
            <x14:iconSet iconSet="3Symbols" custom="1">
              <x14:cfvo type="percent">
                <xm:f>0</xm:f>
              </x14:cfvo>
              <x14:cfvo type="num">
                <xm:f>0</xm:f>
              </x14:cfvo>
              <x14:cfvo type="num">
                <xm:f>0</xm:f>
              </x14:cfvo>
              <x14:cfIcon iconSet="3Symbols" iconId="2"/>
              <x14:cfIcon iconSet="3Symbols" iconId="2"/>
              <x14:cfIcon iconSet="3Symbols" iconId="2"/>
            </x14:iconSet>
          </x14:cfRule>
          <xm:sqref>AE54</xm:sqref>
        </x14:conditionalFormatting>
        <x14:conditionalFormatting xmlns:xm="http://schemas.microsoft.com/office/excel/2006/main">
          <x14:cfRule type="iconSet" priority="107" id="{05444CC0-3C8F-4FFE-81BD-A87FB29B97A7}">
            <x14:iconSet iconSet="3Symbols" custom="1">
              <x14:cfvo type="percent">
                <xm:f>0</xm:f>
              </x14:cfvo>
              <x14:cfvo type="num">
                <xm:f>0</xm:f>
              </x14:cfvo>
              <x14:cfvo type="num">
                <xm:f>0</xm:f>
              </x14:cfvo>
              <x14:cfIcon iconSet="3Symbols" iconId="2"/>
              <x14:cfIcon iconSet="3Symbols" iconId="2"/>
              <x14:cfIcon iconSet="3Symbols" iconId="2"/>
            </x14:iconSet>
          </x14:cfRule>
          <xm:sqref>AE39:AI39</xm:sqref>
        </x14:conditionalFormatting>
        <x14:conditionalFormatting xmlns:xm="http://schemas.microsoft.com/office/excel/2006/main">
          <x14:cfRule type="iconSet" priority="108" id="{6A29ACE9-399B-4C69-B76D-24310F175BAF}">
            <x14:iconSet iconSet="3Symbols" custom="1">
              <x14:cfvo type="percent">
                <xm:f>0</xm:f>
              </x14:cfvo>
              <x14:cfvo type="num">
                <xm:f>0</xm:f>
              </x14:cfvo>
              <x14:cfvo type="num">
                <xm:f>0</xm:f>
              </x14:cfvo>
              <x14:cfIcon iconSet="3Symbols" iconId="2"/>
              <x14:cfIcon iconSet="3Symbols" iconId="2"/>
              <x14:cfIcon iconSet="3Symbols" iconId="2"/>
            </x14:iconSet>
          </x14:cfRule>
          <xm:sqref>AE42:AI42</xm:sqref>
        </x14:conditionalFormatting>
        <x14:conditionalFormatting xmlns:xm="http://schemas.microsoft.com/office/excel/2006/main">
          <x14:cfRule type="iconSet" priority="14" id="{C5D9E543-BEAF-48D3-B0B2-8CBD2379B6F4}">
            <x14:iconSet iconSet="3Symbols" custom="1">
              <x14:cfvo type="percent">
                <xm:f>0</xm:f>
              </x14:cfvo>
              <x14:cfvo type="num">
                <xm:f>0</xm:f>
              </x14:cfvo>
              <x14:cfvo type="num">
                <xm:f>0</xm:f>
              </x14:cfvo>
              <x14:cfIcon iconSet="3Symbols" iconId="2"/>
              <x14:cfIcon iconSet="3Symbols" iconId="2"/>
              <x14:cfIcon iconSet="3Symbols" iconId="2"/>
            </x14:iconSet>
          </x14:cfRule>
          <xm:sqref>AF54</xm:sqref>
        </x14:conditionalFormatting>
        <x14:conditionalFormatting xmlns:xm="http://schemas.microsoft.com/office/excel/2006/main">
          <x14:cfRule type="iconSet" priority="103" id="{C5AA544A-BFF5-45FE-A705-62C9EB2831FB}">
            <x14:iconSet iconSet="3Symbols" custom="1">
              <x14:cfvo type="percent">
                <xm:f>0</xm:f>
              </x14:cfvo>
              <x14:cfvo type="num">
                <xm:f>0</xm:f>
              </x14:cfvo>
              <x14:cfvo type="num">
                <xm:f>0</xm:f>
              </x14:cfvo>
              <x14:cfIcon iconSet="3Symbols" iconId="2"/>
              <x14:cfIcon iconSet="3Symbols" iconId="2"/>
              <x14:cfIcon iconSet="3Symbols" iconId="2"/>
            </x14:iconSet>
          </x14:cfRule>
          <xm:sqref>AF45:AI45</xm:sqref>
        </x14:conditionalFormatting>
        <x14:conditionalFormatting xmlns:xm="http://schemas.microsoft.com/office/excel/2006/main">
          <x14:cfRule type="iconSet" priority="100" id="{A5F119AC-6366-400B-A2E8-107A396AF6E4}">
            <x14:iconSet iconSet="3Symbols" custom="1">
              <x14:cfvo type="percent">
                <xm:f>0</xm:f>
              </x14:cfvo>
              <x14:cfvo type="num">
                <xm:f>0</xm:f>
              </x14:cfvo>
              <x14:cfvo type="num">
                <xm:f>0</xm:f>
              </x14:cfvo>
              <x14:cfIcon iconSet="3Symbols" iconId="2"/>
              <x14:cfIcon iconSet="3Symbols" iconId="2"/>
              <x14:cfIcon iconSet="3Symbols" iconId="2"/>
            </x14:iconSet>
          </x14:cfRule>
          <xm:sqref>AF48:AI48</xm:sqref>
        </x14:conditionalFormatting>
        <x14:conditionalFormatting xmlns:xm="http://schemas.microsoft.com/office/excel/2006/main">
          <x14:cfRule type="iconSet" priority="97" id="{13A46AFA-E7F2-40C9-9C76-8E20CA095290}">
            <x14:iconSet iconSet="3Symbols" custom="1">
              <x14:cfvo type="percent">
                <xm:f>0</xm:f>
              </x14:cfvo>
              <x14:cfvo type="num">
                <xm:f>0</xm:f>
              </x14:cfvo>
              <x14:cfvo type="num">
                <xm:f>0</xm:f>
              </x14:cfvo>
              <x14:cfIcon iconSet="3Symbols" iconId="2"/>
              <x14:cfIcon iconSet="3Symbols" iconId="2"/>
              <x14:cfIcon iconSet="3Symbols" iconId="2"/>
            </x14:iconSet>
          </x14:cfRule>
          <xm:sqref>AF51:AI51</xm:sqref>
        </x14:conditionalFormatting>
        <x14:conditionalFormatting xmlns:xm="http://schemas.microsoft.com/office/excel/2006/main">
          <x14:cfRule type="iconSet" priority="12" id="{B22E586E-71AA-45D0-BC0B-D381D910696F}">
            <x14:iconSet iconSet="3Symbols" custom="1">
              <x14:cfvo type="percent">
                <xm:f>0</xm:f>
              </x14:cfvo>
              <x14:cfvo type="num">
                <xm:f>0</xm:f>
              </x14:cfvo>
              <x14:cfvo type="num">
                <xm:f>0</xm:f>
              </x14:cfvo>
              <x14:cfIcon iconSet="3Symbols" iconId="2"/>
              <x14:cfIcon iconSet="3Symbols" iconId="2"/>
              <x14:cfIcon iconSet="3Symbols" iconId="2"/>
            </x14:iconSet>
          </x14:cfRule>
          <xm:sqref>AG54</xm:sqref>
        </x14:conditionalFormatting>
        <x14:conditionalFormatting xmlns:xm="http://schemas.microsoft.com/office/excel/2006/main">
          <x14:cfRule type="iconSet" priority="10" id="{8F1DB4B8-8BF8-4D48-9FFF-153CAF1A2A58}">
            <x14:iconSet iconSet="3Symbols" custom="1">
              <x14:cfvo type="percent">
                <xm:f>0</xm:f>
              </x14:cfvo>
              <x14:cfvo type="num">
                <xm:f>0</xm:f>
              </x14:cfvo>
              <x14:cfvo type="num">
                <xm:f>0</xm:f>
              </x14:cfvo>
              <x14:cfIcon iconSet="3Symbols" iconId="2"/>
              <x14:cfIcon iconSet="3Symbols" iconId="2"/>
              <x14:cfIcon iconSet="3Symbols" iconId="2"/>
            </x14:iconSet>
          </x14:cfRule>
          <xm:sqref>AH54</xm:sqref>
        </x14:conditionalFormatting>
        <x14:conditionalFormatting xmlns:xm="http://schemas.microsoft.com/office/excel/2006/main">
          <x14:cfRule type="iconSet" priority="8" id="{D75E68B6-AD1A-44AA-9926-D8A504707E4F}">
            <x14:iconSet iconSet="3Symbols" custom="1">
              <x14:cfvo type="percent">
                <xm:f>0</xm:f>
              </x14:cfvo>
              <x14:cfvo type="num">
                <xm:f>0</xm:f>
              </x14:cfvo>
              <x14:cfvo type="num">
                <xm:f>0</xm:f>
              </x14:cfvo>
              <x14:cfIcon iconSet="3Symbols" iconId="2"/>
              <x14:cfIcon iconSet="3Symbols" iconId="2"/>
              <x14:cfIcon iconSet="3Symbols" iconId="2"/>
            </x14:iconSet>
          </x14:cfRule>
          <xm:sqref>AI54</xm:sqref>
        </x14:conditionalFormatting>
        <x14:conditionalFormatting xmlns:xm="http://schemas.microsoft.com/office/excel/2006/main">
          <x14:cfRule type="iconSet" priority="6" id="{E15E25F0-9080-4BA6-9308-B61D97AAFC41}">
            <x14:iconSet iconSet="3Symbols" custom="1">
              <x14:cfvo type="percent">
                <xm:f>0</xm:f>
              </x14:cfvo>
              <x14:cfvo type="num">
                <xm:f>0</xm:f>
              </x14:cfvo>
              <x14:cfvo type="num">
                <xm:f>0</xm:f>
              </x14:cfvo>
              <x14:cfIcon iconSet="3Symbols" iconId="2"/>
              <x14:cfIcon iconSet="3Symbols" iconId="2"/>
              <x14:cfIcon iconSet="3Symbols" iconId="2"/>
            </x14:iconSet>
          </x14:cfRule>
          <xm:sqref>AJ54</xm:sqref>
        </x14:conditionalFormatting>
        <x14:conditionalFormatting xmlns:xm="http://schemas.microsoft.com/office/excel/2006/main">
          <x14:cfRule type="iconSet" priority="91" id="{83D30778-3F63-4B78-B30A-AA4C22BF6122}">
            <x14:iconSet iconSet="3Symbols" custom="1">
              <x14:cfvo type="percent">
                <xm:f>0</xm:f>
              </x14:cfvo>
              <x14:cfvo type="num">
                <xm:f>0</xm:f>
              </x14:cfvo>
              <x14:cfvo type="num">
                <xm:f>0</xm:f>
              </x14:cfvo>
              <x14:cfIcon iconSet="3Symbols" iconId="2"/>
              <x14:cfIcon iconSet="3Symbols" iconId="2"/>
              <x14:cfIcon iconSet="3Symbols" iconId="2"/>
            </x14:iconSet>
          </x14:cfRule>
          <xm:sqref>AJ39:AL39</xm:sqref>
        </x14:conditionalFormatting>
        <x14:conditionalFormatting xmlns:xm="http://schemas.microsoft.com/office/excel/2006/main">
          <x14:cfRule type="iconSet" priority="92" id="{04290F98-F566-411C-9488-F480E22AF52B}">
            <x14:iconSet iconSet="3Symbols" custom="1">
              <x14:cfvo type="percent">
                <xm:f>0</xm:f>
              </x14:cfvo>
              <x14:cfvo type="num">
                <xm:f>0</xm:f>
              </x14:cfvo>
              <x14:cfvo type="num">
                <xm:f>0</xm:f>
              </x14:cfvo>
              <x14:cfIcon iconSet="3Symbols" iconId="2"/>
              <x14:cfIcon iconSet="3Symbols" iconId="2"/>
              <x14:cfIcon iconSet="3Symbols" iconId="2"/>
            </x14:iconSet>
          </x14:cfRule>
          <xm:sqref>AJ42:AL42</xm:sqref>
        </x14:conditionalFormatting>
        <x14:conditionalFormatting xmlns:xm="http://schemas.microsoft.com/office/excel/2006/main">
          <x14:cfRule type="iconSet" priority="88" id="{C8803B77-CDB8-441C-968E-6977E77D598B}">
            <x14:iconSet iconSet="3Symbols" custom="1">
              <x14:cfvo type="percent">
                <xm:f>0</xm:f>
              </x14:cfvo>
              <x14:cfvo type="num">
                <xm:f>0</xm:f>
              </x14:cfvo>
              <x14:cfvo type="num">
                <xm:f>0</xm:f>
              </x14:cfvo>
              <x14:cfIcon iconSet="3Symbols" iconId="2"/>
              <x14:cfIcon iconSet="3Symbols" iconId="2"/>
              <x14:cfIcon iconSet="3Symbols" iconId="2"/>
            </x14:iconSet>
          </x14:cfRule>
          <xm:sqref>AJ45:AL45</xm:sqref>
        </x14:conditionalFormatting>
        <x14:conditionalFormatting xmlns:xm="http://schemas.microsoft.com/office/excel/2006/main">
          <x14:cfRule type="iconSet" priority="86" id="{BDBE1136-71E9-41CA-BA7B-C5FAE6A4A3B4}">
            <x14:iconSet iconSet="3Symbols" custom="1">
              <x14:cfvo type="percent">
                <xm:f>0</xm:f>
              </x14:cfvo>
              <x14:cfvo type="num">
                <xm:f>0</xm:f>
              </x14:cfvo>
              <x14:cfvo type="num">
                <xm:f>0</xm:f>
              </x14:cfvo>
              <x14:cfIcon iconSet="3Symbols" iconId="2"/>
              <x14:cfIcon iconSet="3Symbols" iconId="2"/>
              <x14:cfIcon iconSet="3Symbols" iconId="2"/>
            </x14:iconSet>
          </x14:cfRule>
          <xm:sqref>AJ48:AL48</xm:sqref>
        </x14:conditionalFormatting>
        <x14:conditionalFormatting xmlns:xm="http://schemas.microsoft.com/office/excel/2006/main">
          <x14:cfRule type="iconSet" priority="84" id="{5AC2F286-F065-40C6-9EE6-3FB1871C7552}">
            <x14:iconSet iconSet="3Symbols" custom="1">
              <x14:cfvo type="percent">
                <xm:f>0</xm:f>
              </x14:cfvo>
              <x14:cfvo type="num">
                <xm:f>0</xm:f>
              </x14:cfvo>
              <x14:cfvo type="num">
                <xm:f>0</xm:f>
              </x14:cfvo>
              <x14:cfIcon iconSet="3Symbols" iconId="2"/>
              <x14:cfIcon iconSet="3Symbols" iconId="2"/>
              <x14:cfIcon iconSet="3Symbols" iconId="2"/>
            </x14:iconSet>
          </x14:cfRule>
          <xm:sqref>AJ51:AL51</xm:sqref>
        </x14:conditionalFormatting>
        <x14:conditionalFormatting xmlns:xm="http://schemas.microsoft.com/office/excel/2006/main">
          <x14:cfRule type="iconSet" priority="3" id="{9068ED5C-8B27-4F01-9849-B386B6FC4650}">
            <x14:iconSet iconSet="3Symbols" custom="1">
              <x14:cfvo type="percent">
                <xm:f>0</xm:f>
              </x14:cfvo>
              <x14:cfvo type="num">
                <xm:f>0</xm:f>
              </x14:cfvo>
              <x14:cfvo type="num">
                <xm:f>0</xm:f>
              </x14:cfvo>
              <x14:cfIcon iconSet="3Symbols" iconId="2"/>
              <x14:cfIcon iconSet="3Symbols" iconId="2"/>
              <x14:cfIcon iconSet="3Symbols" iconId="2"/>
            </x14:iconSet>
          </x14:cfRule>
          <xm:sqref>AK54</xm:sqref>
        </x14:conditionalFormatting>
        <x14:conditionalFormatting xmlns:xm="http://schemas.microsoft.com/office/excel/2006/main">
          <x14:cfRule type="iconSet" priority="1" id="{B3AA9350-2B4C-401E-A19B-79E78B50960F}">
            <x14:iconSet iconSet="3Symbols" custom="1">
              <x14:cfvo type="percent">
                <xm:f>0</xm:f>
              </x14:cfvo>
              <x14:cfvo type="num">
                <xm:f>0</xm:f>
              </x14:cfvo>
              <x14:cfvo type="num">
                <xm:f>0</xm:f>
              </x14:cfvo>
              <x14:cfIcon iconSet="3Symbols" iconId="2"/>
              <x14:cfIcon iconSet="3Symbols" iconId="2"/>
              <x14:cfIcon iconSet="3Symbols" iconId="2"/>
            </x14:iconSet>
          </x14:cfRule>
          <xm:sqref>AL54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5CE6-FDBC-443A-8FB6-4864FF2B7AF1}">
  <dimension ref="A1:V107"/>
  <sheetViews>
    <sheetView topLeftCell="A21" zoomScale="80" zoomScaleNormal="80" workbookViewId="0">
      <selection activeCell="J34" sqref="J34"/>
    </sheetView>
  </sheetViews>
  <sheetFormatPr defaultRowHeight="14.25" x14ac:dyDescent="0.2"/>
  <cols>
    <col min="1" max="1" width="2.625" style="10" customWidth="1"/>
    <col min="2" max="2" width="18.875" customWidth="1"/>
    <col min="3" max="3" width="11.875" customWidth="1"/>
    <col min="4" max="4" width="12" customWidth="1"/>
    <col min="5" max="5" width="12.5" customWidth="1"/>
    <col min="6" max="6" width="12.625" customWidth="1"/>
    <col min="7" max="7" width="12.875" customWidth="1"/>
  </cols>
  <sheetData>
    <row r="1" spans="1:7" s="10" customFormat="1" ht="13.5" customHeight="1" x14ac:dyDescent="0.2"/>
    <row r="2" spans="1:7" s="202" customFormat="1" ht="16.5" thickBot="1" x14ac:dyDescent="0.25">
      <c r="A2" s="268"/>
      <c r="B2" s="344" t="s">
        <v>305</v>
      </c>
    </row>
    <row r="3" spans="1:7" s="202" customFormat="1" ht="39" thickBot="1" x14ac:dyDescent="0.25">
      <c r="A3" s="268"/>
      <c r="B3" s="355" t="s">
        <v>306</v>
      </c>
      <c r="C3" s="356" t="s">
        <v>307</v>
      </c>
      <c r="D3" s="356" t="s">
        <v>308</v>
      </c>
      <c r="E3" s="356" t="s">
        <v>309</v>
      </c>
      <c r="F3" s="356" t="s">
        <v>310</v>
      </c>
      <c r="G3" s="356" t="s">
        <v>311</v>
      </c>
    </row>
    <row r="4" spans="1:7" s="202" customFormat="1" ht="26.25" thickBot="1" x14ac:dyDescent="0.25">
      <c r="A4" s="268"/>
      <c r="B4" s="395" t="s">
        <v>312</v>
      </c>
      <c r="C4" s="350">
        <v>2023</v>
      </c>
      <c r="D4" s="350">
        <v>2023</v>
      </c>
      <c r="E4" s="350">
        <v>2023</v>
      </c>
      <c r="F4" s="350">
        <v>2023</v>
      </c>
      <c r="G4" s="350">
        <v>2023</v>
      </c>
    </row>
    <row r="5" spans="1:7" s="202" customFormat="1" ht="15.75" thickBot="1" x14ac:dyDescent="0.25">
      <c r="A5" s="268"/>
      <c r="B5" s="477" t="s">
        <v>166</v>
      </c>
      <c r="C5" s="478"/>
      <c r="D5" s="478"/>
      <c r="E5" s="478"/>
      <c r="F5" s="478"/>
      <c r="G5" s="479"/>
    </row>
    <row r="6" spans="1:7" s="202" customFormat="1" ht="39" thickBot="1" x14ac:dyDescent="0.25">
      <c r="A6" s="268"/>
      <c r="B6" s="395" t="s">
        <v>170</v>
      </c>
      <c r="C6" s="351" t="s">
        <v>313</v>
      </c>
      <c r="D6" s="352">
        <v>14.21</v>
      </c>
      <c r="E6" s="352" t="s">
        <v>314</v>
      </c>
      <c r="F6" s="352" t="s">
        <v>315</v>
      </c>
      <c r="G6" s="352" t="s">
        <v>316</v>
      </c>
    </row>
    <row r="7" spans="1:7" s="202" customFormat="1" ht="60" x14ac:dyDescent="0.2">
      <c r="A7" s="268"/>
      <c r="B7" s="395" t="s">
        <v>171</v>
      </c>
      <c r="C7" s="351" t="s">
        <v>317</v>
      </c>
      <c r="D7" s="350">
        <v>55.52</v>
      </c>
      <c r="E7" s="352" t="s">
        <v>318</v>
      </c>
      <c r="F7" s="352" t="s">
        <v>319</v>
      </c>
      <c r="G7" s="352" t="s">
        <v>320</v>
      </c>
    </row>
    <row r="8" spans="1:7" s="202" customFormat="1" ht="15.75" thickBot="1" x14ac:dyDescent="0.25">
      <c r="A8" s="268"/>
      <c r="B8" s="395" t="s">
        <v>172</v>
      </c>
      <c r="C8" s="350" t="s">
        <v>88</v>
      </c>
      <c r="D8" s="350" t="s">
        <v>88</v>
      </c>
      <c r="E8" s="350" t="s">
        <v>88</v>
      </c>
      <c r="F8" s="350" t="s">
        <v>88</v>
      </c>
      <c r="G8" s="350" t="s">
        <v>88</v>
      </c>
    </row>
    <row r="9" spans="1:7" s="202" customFormat="1" ht="26.25" thickBot="1" x14ac:dyDescent="0.25">
      <c r="A9" s="268"/>
      <c r="B9" s="395" t="s">
        <v>321</v>
      </c>
      <c r="C9" s="350" t="s">
        <v>322</v>
      </c>
      <c r="D9" s="350" t="s">
        <v>174</v>
      </c>
      <c r="E9" s="350" t="s">
        <v>322</v>
      </c>
      <c r="F9" s="350" t="s">
        <v>323</v>
      </c>
      <c r="G9" s="350" t="s">
        <v>322</v>
      </c>
    </row>
    <row r="10" spans="1:7" s="202" customFormat="1" ht="26.25" thickBot="1" x14ac:dyDescent="0.25">
      <c r="A10" s="268"/>
      <c r="B10" s="395" t="s">
        <v>179</v>
      </c>
      <c r="C10" s="350" t="s">
        <v>88</v>
      </c>
      <c r="D10" s="350" t="s">
        <v>88</v>
      </c>
      <c r="E10" s="350" t="s">
        <v>88</v>
      </c>
      <c r="F10" s="350" t="s">
        <v>88</v>
      </c>
      <c r="G10" s="350" t="s">
        <v>88</v>
      </c>
    </row>
    <row r="11" spans="1:7" s="202" customFormat="1" ht="26.25" thickBot="1" x14ac:dyDescent="0.25">
      <c r="A11" s="268"/>
      <c r="B11" s="395" t="s">
        <v>324</v>
      </c>
      <c r="C11" s="351">
        <v>77.23</v>
      </c>
      <c r="D11" s="350" t="s">
        <v>88</v>
      </c>
      <c r="E11" s="350">
        <v>70.31</v>
      </c>
      <c r="F11" s="350">
        <v>56.23</v>
      </c>
      <c r="G11" s="350">
        <v>60.55</v>
      </c>
    </row>
    <row r="12" spans="1:7" s="202" customFormat="1" ht="26.25" thickBot="1" x14ac:dyDescent="0.25">
      <c r="A12" s="268"/>
      <c r="B12" s="396" t="s">
        <v>181</v>
      </c>
      <c r="C12" s="357">
        <v>703.85</v>
      </c>
      <c r="D12" s="357">
        <v>788.94</v>
      </c>
      <c r="E12" s="357">
        <v>429.41</v>
      </c>
      <c r="F12" s="357">
        <v>645.13</v>
      </c>
      <c r="G12" s="357">
        <v>880.6</v>
      </c>
    </row>
    <row r="13" spans="1:7" s="202" customFormat="1" ht="15.75" thickBot="1" x14ac:dyDescent="0.25">
      <c r="A13" s="268"/>
      <c r="B13" s="477" t="s">
        <v>182</v>
      </c>
      <c r="C13" s="478"/>
      <c r="D13" s="478"/>
      <c r="E13" s="478"/>
      <c r="F13" s="478"/>
      <c r="G13" s="479"/>
    </row>
    <row r="14" spans="1:7" s="202" customFormat="1" ht="15.75" thickBot="1" x14ac:dyDescent="0.25">
      <c r="A14" s="268"/>
      <c r="B14" s="395" t="s">
        <v>325</v>
      </c>
      <c r="C14" s="352">
        <v>225.37</v>
      </c>
      <c r="D14" s="350">
        <v>334.26</v>
      </c>
      <c r="E14" s="352">
        <v>161.80000000000001</v>
      </c>
      <c r="F14" s="352">
        <v>249.39</v>
      </c>
      <c r="G14" s="352">
        <v>240.96</v>
      </c>
    </row>
    <row r="15" spans="1:7" s="202" customFormat="1" ht="15.75" thickBot="1" x14ac:dyDescent="0.25">
      <c r="A15" s="268"/>
      <c r="B15" s="395" t="s">
        <v>200</v>
      </c>
      <c r="C15" s="352">
        <v>44.05</v>
      </c>
      <c r="D15" s="350">
        <v>28.21</v>
      </c>
      <c r="E15" s="352">
        <v>10.79</v>
      </c>
      <c r="F15" s="352">
        <v>52.16</v>
      </c>
      <c r="G15" s="350">
        <v>50.1</v>
      </c>
    </row>
    <row r="16" spans="1:7" s="202" customFormat="1" ht="96.6" customHeight="1" thickBot="1" x14ac:dyDescent="0.25">
      <c r="A16" s="268"/>
      <c r="B16" s="395" t="s">
        <v>185</v>
      </c>
      <c r="C16" s="350" t="s">
        <v>88</v>
      </c>
      <c r="D16" s="350" t="s">
        <v>88</v>
      </c>
      <c r="E16" s="350" t="s">
        <v>88</v>
      </c>
      <c r="F16" s="350" t="s">
        <v>88</v>
      </c>
      <c r="G16" s="350" t="s">
        <v>88</v>
      </c>
    </row>
    <row r="17" spans="1:7" s="202" customFormat="1" ht="78" customHeight="1" thickBot="1" x14ac:dyDescent="0.25">
      <c r="A17" s="268"/>
      <c r="B17" s="395" t="s">
        <v>326</v>
      </c>
      <c r="C17" s="350" t="s">
        <v>88</v>
      </c>
      <c r="D17" s="350" t="s">
        <v>88</v>
      </c>
      <c r="E17" s="350" t="s">
        <v>88</v>
      </c>
      <c r="F17" s="350" t="s">
        <v>88</v>
      </c>
      <c r="G17" s="350" t="s">
        <v>88</v>
      </c>
    </row>
    <row r="18" spans="1:7" s="202" customFormat="1" ht="39" thickBot="1" x14ac:dyDescent="0.25">
      <c r="A18" s="268"/>
      <c r="B18" s="395" t="s">
        <v>327</v>
      </c>
      <c r="C18" s="350">
        <v>32</v>
      </c>
      <c r="D18" s="350">
        <v>45.88</v>
      </c>
      <c r="E18" s="350">
        <v>11.58</v>
      </c>
      <c r="F18" s="350">
        <v>49.34</v>
      </c>
      <c r="G18" s="350">
        <v>23.15</v>
      </c>
    </row>
    <row r="19" spans="1:7" s="202" customFormat="1" ht="26.25" thickBot="1" x14ac:dyDescent="0.25">
      <c r="A19" s="268"/>
      <c r="B19" s="395" t="s">
        <v>328</v>
      </c>
      <c r="C19" s="350">
        <v>301.42</v>
      </c>
      <c r="D19" s="350">
        <v>408.35</v>
      </c>
      <c r="E19" s="350">
        <v>184.17</v>
      </c>
      <c r="F19" s="350">
        <v>350.89</v>
      </c>
      <c r="G19" s="350">
        <v>314.20999999999998</v>
      </c>
    </row>
    <row r="20" spans="1:7" s="202" customFormat="1" ht="15.75" thickBot="1" x14ac:dyDescent="0.25">
      <c r="A20" s="268"/>
      <c r="B20" s="477" t="s">
        <v>186</v>
      </c>
      <c r="C20" s="478"/>
      <c r="D20" s="478"/>
      <c r="E20" s="478"/>
      <c r="F20" s="478"/>
      <c r="G20" s="479"/>
    </row>
    <row r="21" spans="1:7" s="202" customFormat="1" ht="39" thickBot="1" x14ac:dyDescent="0.25">
      <c r="A21" s="268"/>
      <c r="B21" s="395" t="s">
        <v>187</v>
      </c>
      <c r="C21" s="352">
        <v>60.14</v>
      </c>
      <c r="D21" s="350">
        <v>124.14</v>
      </c>
      <c r="E21" s="350">
        <v>40.35</v>
      </c>
      <c r="F21" s="350">
        <v>51.52</v>
      </c>
      <c r="G21" s="350">
        <v>76.28</v>
      </c>
    </row>
    <row r="22" spans="1:7" s="202" customFormat="1" ht="15.75" thickBot="1" x14ac:dyDescent="0.25">
      <c r="A22" s="268"/>
      <c r="B22" s="395" t="s">
        <v>188</v>
      </c>
      <c r="C22" s="352">
        <v>150</v>
      </c>
      <c r="D22" s="350" t="s">
        <v>88</v>
      </c>
      <c r="E22" s="350">
        <v>111.56</v>
      </c>
      <c r="F22" s="350">
        <v>150</v>
      </c>
      <c r="G22" s="350">
        <v>111.56</v>
      </c>
    </row>
    <row r="23" spans="1:7" s="202" customFormat="1" ht="39" thickBot="1" x14ac:dyDescent="0.25">
      <c r="A23" s="268"/>
      <c r="B23" s="395" t="s">
        <v>189</v>
      </c>
      <c r="C23" s="350" t="s">
        <v>88</v>
      </c>
      <c r="D23" s="350">
        <v>19.84</v>
      </c>
      <c r="E23" s="350" t="s">
        <v>88</v>
      </c>
      <c r="F23" s="350" t="s">
        <v>88</v>
      </c>
      <c r="G23" s="350" t="s">
        <v>88</v>
      </c>
    </row>
    <row r="24" spans="1:7" s="202" customFormat="1" ht="26.25" thickBot="1" x14ac:dyDescent="0.25">
      <c r="A24" s="268"/>
      <c r="B24" s="395" t="s">
        <v>190</v>
      </c>
      <c r="C24" s="350" t="s">
        <v>88</v>
      </c>
      <c r="D24" s="350">
        <v>22.58</v>
      </c>
      <c r="E24" s="350" t="s">
        <v>88</v>
      </c>
      <c r="F24" s="350" t="s">
        <v>88</v>
      </c>
      <c r="G24" s="350" t="s">
        <v>88</v>
      </c>
    </row>
    <row r="25" spans="1:7" s="202" customFormat="1" ht="26.25" thickBot="1" x14ac:dyDescent="0.25">
      <c r="A25" s="268"/>
      <c r="B25" s="395" t="s">
        <v>192</v>
      </c>
      <c r="C25" s="350" t="s">
        <v>88</v>
      </c>
      <c r="D25" s="350" t="s">
        <v>88</v>
      </c>
      <c r="E25" s="350" t="s">
        <v>88</v>
      </c>
      <c r="F25" s="350" t="s">
        <v>88</v>
      </c>
      <c r="G25" s="350" t="s">
        <v>88</v>
      </c>
    </row>
    <row r="26" spans="1:7" s="202" customFormat="1" ht="15.75" thickBot="1" x14ac:dyDescent="0.25">
      <c r="A26" s="268"/>
      <c r="B26" s="395" t="s">
        <v>193</v>
      </c>
      <c r="C26" s="350" t="s">
        <v>88</v>
      </c>
      <c r="D26" s="350" t="s">
        <v>88</v>
      </c>
      <c r="E26" s="350" t="s">
        <v>88</v>
      </c>
      <c r="F26" s="350" t="s">
        <v>88</v>
      </c>
      <c r="G26" s="350" t="s">
        <v>88</v>
      </c>
    </row>
    <row r="27" spans="1:7" s="202" customFormat="1" ht="15.75" thickBot="1" x14ac:dyDescent="0.25">
      <c r="A27" s="268"/>
      <c r="B27" s="395" t="s">
        <v>194</v>
      </c>
      <c r="C27" s="350">
        <v>30.52</v>
      </c>
      <c r="D27" s="350" t="s">
        <v>88</v>
      </c>
      <c r="E27" s="350">
        <v>25.47</v>
      </c>
      <c r="F27" s="350">
        <v>36.270000000000003</v>
      </c>
      <c r="G27" s="350">
        <v>47.87</v>
      </c>
    </row>
    <row r="28" spans="1:7" s="202" customFormat="1" ht="15.75" thickBot="1" x14ac:dyDescent="0.25">
      <c r="A28" s="268"/>
      <c r="B28" s="395" t="s">
        <v>195</v>
      </c>
      <c r="C28" s="350">
        <v>21.47</v>
      </c>
      <c r="D28" s="350" t="s">
        <v>88</v>
      </c>
      <c r="E28" s="350">
        <v>21.09</v>
      </c>
      <c r="F28" s="350">
        <v>22.1</v>
      </c>
      <c r="G28" s="350">
        <v>29.17</v>
      </c>
    </row>
    <row r="29" spans="1:7" s="202" customFormat="1" ht="15.75" thickBot="1" x14ac:dyDescent="0.25">
      <c r="A29" s="268"/>
      <c r="B29" s="395" t="s">
        <v>196</v>
      </c>
      <c r="C29" s="350">
        <v>8.7899999999999991</v>
      </c>
      <c r="D29" s="350">
        <v>94.72</v>
      </c>
      <c r="E29" s="350">
        <v>8.7899999999999991</v>
      </c>
      <c r="F29" s="350">
        <v>8.7899999999999991</v>
      </c>
      <c r="G29" s="350">
        <v>8.7899999999999991</v>
      </c>
    </row>
    <row r="30" spans="1:7" s="202" customFormat="1" ht="39" thickBot="1" x14ac:dyDescent="0.25">
      <c r="A30" s="268"/>
      <c r="B30" s="395" t="s">
        <v>197</v>
      </c>
      <c r="C30" s="350">
        <v>271</v>
      </c>
      <c r="D30" s="350">
        <v>261.27999999999997</v>
      </c>
      <c r="E30" s="350">
        <v>207</v>
      </c>
      <c r="F30" s="350">
        <v>269</v>
      </c>
      <c r="G30" s="350">
        <v>274</v>
      </c>
    </row>
    <row r="31" spans="1:7" s="202" customFormat="1" ht="15.75" thickBot="1" x14ac:dyDescent="0.25">
      <c r="A31" s="268"/>
      <c r="B31" s="396" t="s">
        <v>198</v>
      </c>
      <c r="C31" s="357">
        <v>572</v>
      </c>
      <c r="D31" s="357">
        <v>670</v>
      </c>
      <c r="E31" s="357">
        <v>391</v>
      </c>
      <c r="F31" s="357">
        <v>620</v>
      </c>
      <c r="G31" s="357">
        <v>588</v>
      </c>
    </row>
    <row r="32" spans="1:7" s="202" customFormat="1" ht="37.5" customHeight="1" thickBot="1" x14ac:dyDescent="0.25">
      <c r="A32" s="268"/>
      <c r="B32" s="397" t="s">
        <v>199</v>
      </c>
      <c r="C32" s="358">
        <v>131.46</v>
      </c>
      <c r="D32" s="358">
        <v>119.31</v>
      </c>
      <c r="E32" s="358">
        <v>38.409999999999997</v>
      </c>
      <c r="F32" s="358">
        <v>25.56</v>
      </c>
      <c r="G32" s="358">
        <v>292.72000000000003</v>
      </c>
    </row>
    <row r="33" spans="1:22" s="202" customFormat="1" ht="15.75" thickBot="1" x14ac:dyDescent="0.25">
      <c r="A33" s="268"/>
      <c r="B33" s="477" t="s">
        <v>200</v>
      </c>
      <c r="C33" s="478"/>
      <c r="D33" s="478"/>
      <c r="E33" s="478"/>
      <c r="F33" s="478"/>
      <c r="G33" s="479"/>
    </row>
    <row r="34" spans="1:22" s="202" customFormat="1" ht="41.45" customHeight="1" thickBot="1" x14ac:dyDescent="0.25">
      <c r="A34" s="268"/>
      <c r="B34" s="395" t="s">
        <v>201</v>
      </c>
      <c r="C34" s="350">
        <v>2</v>
      </c>
      <c r="D34" s="350">
        <v>2</v>
      </c>
      <c r="E34" s="350">
        <v>2</v>
      </c>
      <c r="F34" s="350">
        <v>2</v>
      </c>
      <c r="G34" s="350">
        <v>1</v>
      </c>
    </row>
    <row r="35" spans="1:22" s="202" customFormat="1" ht="22.5" customHeight="1" x14ac:dyDescent="0.2">
      <c r="A35" s="268"/>
      <c r="B35" s="353"/>
      <c r="C35" s="354"/>
      <c r="D35" s="354"/>
      <c r="E35" s="354"/>
      <c r="F35" s="354"/>
      <c r="G35" s="354"/>
    </row>
    <row r="36" spans="1:22" s="202" customFormat="1" ht="32.450000000000003" customHeight="1" x14ac:dyDescent="0.2">
      <c r="A36" s="268"/>
      <c r="B36" s="481" t="s">
        <v>329</v>
      </c>
      <c r="C36" s="481"/>
      <c r="D36" s="354"/>
      <c r="E36" s="354"/>
      <c r="F36" s="354"/>
      <c r="G36" s="354"/>
    </row>
    <row r="37" spans="1:22" s="202" customFormat="1" ht="15" customHeight="1" x14ac:dyDescent="0.2">
      <c r="A37" s="268"/>
      <c r="B37" s="469" t="s">
        <v>330</v>
      </c>
      <c r="C37" s="480"/>
      <c r="D37" s="480"/>
      <c r="E37" s="480"/>
      <c r="F37" s="480"/>
      <c r="G37" s="480"/>
      <c r="H37" s="480"/>
      <c r="I37" s="480"/>
      <c r="J37" s="480"/>
      <c r="K37" s="480"/>
      <c r="L37" s="480"/>
      <c r="M37" s="480"/>
      <c r="N37" s="480"/>
      <c r="O37" s="480"/>
      <c r="P37" s="480"/>
      <c r="Q37" s="480"/>
      <c r="R37" s="480"/>
      <c r="S37" s="480"/>
      <c r="T37" s="480"/>
      <c r="U37" s="480"/>
      <c r="V37" s="480"/>
    </row>
    <row r="38" spans="1:22" s="202" customFormat="1" ht="15" x14ac:dyDescent="0.2">
      <c r="A38" s="268"/>
      <c r="B38" s="480"/>
      <c r="C38" s="480"/>
      <c r="D38" s="480"/>
      <c r="E38" s="480"/>
      <c r="F38" s="480"/>
      <c r="G38" s="480"/>
      <c r="H38" s="480"/>
      <c r="I38" s="480"/>
      <c r="J38" s="480"/>
      <c r="K38" s="480"/>
      <c r="L38" s="480"/>
      <c r="M38" s="480"/>
      <c r="N38" s="480"/>
      <c r="O38" s="480"/>
      <c r="P38" s="480"/>
      <c r="Q38" s="480"/>
      <c r="R38" s="480"/>
      <c r="S38" s="480"/>
      <c r="T38" s="480"/>
      <c r="U38" s="480"/>
      <c r="V38" s="480"/>
    </row>
    <row r="39" spans="1:22" x14ac:dyDescent="0.2">
      <c r="B39" s="480"/>
      <c r="C39" s="480"/>
      <c r="D39" s="480"/>
      <c r="E39" s="480"/>
      <c r="F39" s="480"/>
      <c r="G39" s="480"/>
      <c r="H39" s="480"/>
      <c r="I39" s="480"/>
      <c r="J39" s="480"/>
      <c r="K39" s="480"/>
      <c r="L39" s="480"/>
      <c r="M39" s="480"/>
      <c r="N39" s="480"/>
      <c r="O39" s="480"/>
      <c r="P39" s="480"/>
      <c r="Q39" s="480"/>
      <c r="R39" s="480"/>
      <c r="S39" s="480"/>
      <c r="T39" s="480"/>
      <c r="U39" s="480"/>
      <c r="V39" s="480"/>
    </row>
    <row r="40" spans="1:22" x14ac:dyDescent="0.2">
      <c r="B40" s="480"/>
      <c r="C40" s="480"/>
      <c r="D40" s="480"/>
      <c r="E40" s="480"/>
      <c r="F40" s="480"/>
      <c r="G40" s="480"/>
      <c r="H40" s="480"/>
      <c r="I40" s="480"/>
      <c r="J40" s="480"/>
      <c r="K40" s="480"/>
      <c r="L40" s="480"/>
      <c r="M40" s="480"/>
      <c r="N40" s="480"/>
      <c r="O40" s="480"/>
      <c r="P40" s="480"/>
      <c r="Q40" s="480"/>
      <c r="R40" s="480"/>
      <c r="S40" s="480"/>
      <c r="T40" s="480"/>
      <c r="U40" s="480"/>
      <c r="V40" s="480"/>
    </row>
    <row r="41" spans="1:22" x14ac:dyDescent="0.2">
      <c r="B41" s="480"/>
      <c r="C41" s="480"/>
      <c r="D41" s="480"/>
      <c r="E41" s="480"/>
      <c r="F41" s="480"/>
      <c r="G41" s="480"/>
      <c r="H41" s="480"/>
      <c r="I41" s="480"/>
      <c r="J41" s="480"/>
      <c r="K41" s="480"/>
      <c r="L41" s="480"/>
      <c r="M41" s="480"/>
      <c r="N41" s="480"/>
      <c r="O41" s="480"/>
      <c r="P41" s="480"/>
      <c r="Q41" s="480"/>
      <c r="R41" s="480"/>
      <c r="S41" s="480"/>
      <c r="T41" s="480"/>
      <c r="U41" s="480"/>
      <c r="V41" s="480"/>
    </row>
    <row r="42" spans="1:22" x14ac:dyDescent="0.2">
      <c r="B42" s="480"/>
      <c r="C42" s="480"/>
      <c r="D42" s="480"/>
      <c r="E42" s="480"/>
      <c r="F42" s="480"/>
      <c r="G42" s="480"/>
      <c r="H42" s="480"/>
      <c r="I42" s="480"/>
      <c r="J42" s="480"/>
      <c r="K42" s="480"/>
      <c r="L42" s="480"/>
      <c r="M42" s="480"/>
      <c r="N42" s="480"/>
      <c r="O42" s="480"/>
      <c r="P42" s="480"/>
      <c r="Q42" s="480"/>
      <c r="R42" s="480"/>
      <c r="S42" s="480"/>
      <c r="T42" s="480"/>
      <c r="U42" s="480"/>
      <c r="V42" s="480"/>
    </row>
    <row r="43" spans="1:22" ht="14.45" customHeight="1" x14ac:dyDescent="0.2">
      <c r="B43" s="480"/>
      <c r="C43" s="480"/>
      <c r="D43" s="480"/>
      <c r="E43" s="480"/>
      <c r="F43" s="480"/>
      <c r="G43" s="480"/>
      <c r="H43" s="480"/>
      <c r="I43" s="480"/>
      <c r="J43" s="480"/>
      <c r="K43" s="480"/>
      <c r="L43" s="480"/>
      <c r="M43" s="480"/>
      <c r="N43" s="480"/>
      <c r="O43" s="480"/>
      <c r="P43" s="480"/>
      <c r="Q43" s="480"/>
      <c r="R43" s="480"/>
      <c r="S43" s="480"/>
      <c r="T43" s="480"/>
      <c r="U43" s="480"/>
      <c r="V43" s="480"/>
    </row>
    <row r="44" spans="1:22" x14ac:dyDescent="0.2">
      <c r="B44" s="480"/>
      <c r="C44" s="480"/>
      <c r="D44" s="480"/>
      <c r="E44" s="480"/>
      <c r="F44" s="480"/>
      <c r="G44" s="480"/>
      <c r="H44" s="480"/>
      <c r="I44" s="480"/>
      <c r="J44" s="480"/>
      <c r="K44" s="480"/>
      <c r="L44" s="480"/>
      <c r="M44" s="480"/>
      <c r="N44" s="480"/>
      <c r="O44" s="480"/>
      <c r="P44" s="480"/>
      <c r="Q44" s="480"/>
      <c r="R44" s="480"/>
      <c r="S44" s="480"/>
      <c r="T44" s="480"/>
      <c r="U44" s="480"/>
      <c r="V44" s="480"/>
    </row>
    <row r="45" spans="1:22" x14ac:dyDescent="0.2">
      <c r="B45" s="480"/>
      <c r="C45" s="480"/>
      <c r="D45" s="480"/>
      <c r="E45" s="480"/>
      <c r="F45" s="480"/>
      <c r="G45" s="480"/>
      <c r="H45" s="480"/>
      <c r="I45" s="480"/>
      <c r="J45" s="480"/>
      <c r="K45" s="480"/>
      <c r="L45" s="480"/>
      <c r="M45" s="480"/>
      <c r="N45" s="480"/>
      <c r="O45" s="480"/>
      <c r="P45" s="480"/>
      <c r="Q45" s="480"/>
      <c r="R45" s="480"/>
      <c r="S45" s="480"/>
      <c r="T45" s="480"/>
      <c r="U45" s="480"/>
      <c r="V45" s="480"/>
    </row>
    <row r="46" spans="1:22" x14ac:dyDescent="0.2">
      <c r="B46" s="480"/>
      <c r="C46" s="480"/>
      <c r="D46" s="480"/>
      <c r="E46" s="480"/>
      <c r="F46" s="480"/>
      <c r="G46" s="480"/>
      <c r="H46" s="480"/>
      <c r="I46" s="480"/>
      <c r="J46" s="480"/>
      <c r="K46" s="480"/>
      <c r="L46" s="480"/>
      <c r="M46" s="480"/>
      <c r="N46" s="480"/>
      <c r="O46" s="480"/>
      <c r="P46" s="480"/>
      <c r="Q46" s="480"/>
      <c r="R46" s="480"/>
      <c r="S46" s="480"/>
      <c r="T46" s="480"/>
      <c r="U46" s="480"/>
      <c r="V46" s="480"/>
    </row>
    <row r="47" spans="1:22" x14ac:dyDescent="0.2">
      <c r="B47" s="480"/>
      <c r="C47" s="480"/>
      <c r="D47" s="480"/>
      <c r="E47" s="480"/>
      <c r="F47" s="480"/>
      <c r="G47" s="480"/>
      <c r="H47" s="480"/>
      <c r="I47" s="480"/>
      <c r="J47" s="480"/>
      <c r="K47" s="480"/>
      <c r="L47" s="480"/>
      <c r="M47" s="480"/>
      <c r="N47" s="480"/>
      <c r="O47" s="480"/>
      <c r="P47" s="480"/>
      <c r="Q47" s="480"/>
      <c r="R47" s="480"/>
      <c r="S47" s="480"/>
      <c r="T47" s="480"/>
      <c r="U47" s="480"/>
      <c r="V47" s="480"/>
    </row>
    <row r="48" spans="1:22" x14ac:dyDescent="0.2">
      <c r="B48" s="480"/>
      <c r="C48" s="480"/>
      <c r="D48" s="480"/>
      <c r="E48" s="480"/>
      <c r="F48" s="480"/>
      <c r="G48" s="480"/>
      <c r="H48" s="480"/>
      <c r="I48" s="480"/>
      <c r="J48" s="480"/>
      <c r="K48" s="480"/>
      <c r="L48" s="480"/>
      <c r="M48" s="480"/>
      <c r="N48" s="480"/>
      <c r="O48" s="480"/>
      <c r="P48" s="480"/>
      <c r="Q48" s="480"/>
      <c r="R48" s="480"/>
      <c r="S48" s="480"/>
      <c r="T48" s="480"/>
      <c r="U48" s="480"/>
      <c r="V48" s="480"/>
    </row>
    <row r="49" spans="2:22" x14ac:dyDescent="0.2">
      <c r="B49" s="480"/>
      <c r="C49" s="480"/>
      <c r="D49" s="480"/>
      <c r="E49" s="480"/>
      <c r="F49" s="480"/>
      <c r="G49" s="480"/>
      <c r="H49" s="480"/>
      <c r="I49" s="480"/>
      <c r="J49" s="480"/>
      <c r="K49" s="480"/>
      <c r="L49" s="480"/>
      <c r="M49" s="480"/>
      <c r="N49" s="480"/>
      <c r="O49" s="480"/>
      <c r="P49" s="480"/>
      <c r="Q49" s="480"/>
      <c r="R49" s="480"/>
      <c r="S49" s="480"/>
      <c r="T49" s="480"/>
      <c r="U49" s="480"/>
      <c r="V49" s="480"/>
    </row>
    <row r="50" spans="2:22" ht="14.45" customHeight="1" x14ac:dyDescent="0.2">
      <c r="B50" s="480"/>
      <c r="C50" s="480"/>
      <c r="D50" s="480"/>
      <c r="E50" s="480"/>
      <c r="F50" s="480"/>
      <c r="G50" s="480"/>
      <c r="H50" s="480"/>
      <c r="I50" s="480"/>
      <c r="J50" s="480"/>
      <c r="K50" s="480"/>
      <c r="L50" s="480"/>
      <c r="M50" s="480"/>
      <c r="N50" s="480"/>
      <c r="O50" s="480"/>
      <c r="P50" s="480"/>
      <c r="Q50" s="480"/>
      <c r="R50" s="480"/>
      <c r="S50" s="480"/>
      <c r="T50" s="480"/>
      <c r="U50" s="480"/>
      <c r="V50" s="480"/>
    </row>
    <row r="51" spans="2:22" x14ac:dyDescent="0.2">
      <c r="B51" s="480"/>
      <c r="C51" s="480"/>
      <c r="D51" s="480"/>
      <c r="E51" s="480"/>
      <c r="F51" s="480"/>
      <c r="G51" s="480"/>
      <c r="H51" s="480"/>
      <c r="I51" s="480"/>
      <c r="J51" s="480"/>
      <c r="K51" s="480"/>
      <c r="L51" s="480"/>
      <c r="M51" s="480"/>
      <c r="N51" s="480"/>
      <c r="O51" s="480"/>
      <c r="P51" s="480"/>
      <c r="Q51" s="480"/>
      <c r="R51" s="480"/>
      <c r="S51" s="480"/>
      <c r="T51" s="480"/>
      <c r="U51" s="480"/>
      <c r="V51" s="480"/>
    </row>
    <row r="52" spans="2:22" x14ac:dyDescent="0.2">
      <c r="B52" s="480"/>
      <c r="C52" s="480"/>
      <c r="D52" s="480"/>
      <c r="E52" s="480"/>
      <c r="F52" s="480"/>
      <c r="G52" s="480"/>
      <c r="H52" s="480"/>
      <c r="I52" s="480"/>
      <c r="J52" s="480"/>
      <c r="K52" s="480"/>
      <c r="L52" s="480"/>
      <c r="M52" s="480"/>
      <c r="N52" s="480"/>
      <c r="O52" s="480"/>
      <c r="P52" s="480"/>
      <c r="Q52" s="480"/>
      <c r="R52" s="480"/>
      <c r="S52" s="480"/>
      <c r="T52" s="480"/>
      <c r="U52" s="480"/>
      <c r="V52" s="480"/>
    </row>
    <row r="53" spans="2:22" x14ac:dyDescent="0.2">
      <c r="B53" s="480"/>
      <c r="C53" s="480"/>
      <c r="D53" s="480"/>
      <c r="E53" s="480"/>
      <c r="F53" s="480"/>
      <c r="G53" s="480"/>
      <c r="H53" s="480"/>
      <c r="I53" s="480"/>
      <c r="J53" s="480"/>
      <c r="K53" s="480"/>
      <c r="L53" s="480"/>
      <c r="M53" s="480"/>
      <c r="N53" s="480"/>
      <c r="O53" s="480"/>
      <c r="P53" s="480"/>
      <c r="Q53" s="480"/>
      <c r="R53" s="480"/>
      <c r="S53" s="480"/>
      <c r="T53" s="480"/>
      <c r="U53" s="480"/>
      <c r="V53" s="480"/>
    </row>
    <row r="54" spans="2:22" x14ac:dyDescent="0.2">
      <c r="B54" s="480"/>
      <c r="C54" s="480"/>
      <c r="D54" s="480"/>
      <c r="E54" s="480"/>
      <c r="F54" s="480"/>
      <c r="G54" s="480"/>
      <c r="H54" s="480"/>
      <c r="I54" s="480"/>
      <c r="J54" s="480"/>
      <c r="K54" s="480"/>
      <c r="L54" s="480"/>
      <c r="M54" s="480"/>
      <c r="N54" s="480"/>
      <c r="O54" s="480"/>
      <c r="P54" s="480"/>
      <c r="Q54" s="480"/>
      <c r="R54" s="480"/>
      <c r="S54" s="480"/>
      <c r="T54" s="480"/>
      <c r="U54" s="480"/>
      <c r="V54" s="480"/>
    </row>
    <row r="55" spans="2:22" x14ac:dyDescent="0.2">
      <c r="B55" s="480"/>
      <c r="C55" s="480"/>
      <c r="D55" s="480"/>
      <c r="E55" s="480"/>
      <c r="F55" s="480"/>
      <c r="G55" s="480"/>
      <c r="H55" s="480"/>
      <c r="I55" s="480"/>
      <c r="J55" s="480"/>
      <c r="K55" s="480"/>
      <c r="L55" s="480"/>
      <c r="M55" s="480"/>
      <c r="N55" s="480"/>
      <c r="O55" s="480"/>
      <c r="P55" s="480"/>
      <c r="Q55" s="480"/>
      <c r="R55" s="480"/>
      <c r="S55" s="480"/>
      <c r="T55" s="480"/>
      <c r="U55" s="480"/>
      <c r="V55" s="480"/>
    </row>
    <row r="56" spans="2:22" x14ac:dyDescent="0.2">
      <c r="B56" s="480"/>
      <c r="C56" s="480"/>
      <c r="D56" s="480"/>
      <c r="E56" s="480"/>
      <c r="F56" s="480"/>
      <c r="G56" s="480"/>
      <c r="H56" s="480"/>
      <c r="I56" s="480"/>
      <c r="J56" s="480"/>
      <c r="K56" s="480"/>
      <c r="L56" s="480"/>
      <c r="M56" s="480"/>
      <c r="N56" s="480"/>
      <c r="O56" s="480"/>
      <c r="P56" s="480"/>
      <c r="Q56" s="480"/>
      <c r="R56" s="480"/>
      <c r="S56" s="480"/>
      <c r="T56" s="480"/>
      <c r="U56" s="480"/>
      <c r="V56" s="480"/>
    </row>
    <row r="57" spans="2:22" x14ac:dyDescent="0.2">
      <c r="B57" s="480"/>
      <c r="C57" s="480"/>
      <c r="D57" s="480"/>
      <c r="E57" s="480"/>
      <c r="F57" s="480"/>
      <c r="G57" s="480"/>
      <c r="H57" s="480"/>
      <c r="I57" s="480"/>
      <c r="J57" s="480"/>
      <c r="K57" s="480"/>
      <c r="L57" s="480"/>
      <c r="M57" s="480"/>
      <c r="N57" s="480"/>
      <c r="O57" s="480"/>
      <c r="P57" s="480"/>
      <c r="Q57" s="480"/>
      <c r="R57" s="480"/>
      <c r="S57" s="480"/>
      <c r="T57" s="480"/>
      <c r="U57" s="480"/>
      <c r="V57" s="480"/>
    </row>
    <row r="58" spans="2:22" x14ac:dyDescent="0.2">
      <c r="B58" s="480"/>
      <c r="C58" s="480"/>
      <c r="D58" s="480"/>
      <c r="E58" s="480"/>
      <c r="F58" s="480"/>
      <c r="G58" s="480"/>
      <c r="H58" s="480"/>
      <c r="I58" s="480"/>
      <c r="J58" s="480"/>
      <c r="K58" s="480"/>
      <c r="L58" s="480"/>
      <c r="M58" s="480"/>
      <c r="N58" s="480"/>
      <c r="O58" s="480"/>
      <c r="P58" s="480"/>
      <c r="Q58" s="480"/>
      <c r="R58" s="480"/>
      <c r="S58" s="480"/>
      <c r="T58" s="480"/>
      <c r="U58" s="480"/>
      <c r="V58" s="480"/>
    </row>
    <row r="59" spans="2:22" x14ac:dyDescent="0.2">
      <c r="B59" s="480"/>
      <c r="C59" s="480"/>
      <c r="D59" s="480"/>
      <c r="E59" s="480"/>
      <c r="F59" s="480"/>
      <c r="G59" s="480"/>
      <c r="H59" s="480"/>
      <c r="I59" s="480"/>
      <c r="J59" s="480"/>
      <c r="K59" s="480"/>
      <c r="L59" s="480"/>
      <c r="M59" s="480"/>
      <c r="N59" s="480"/>
      <c r="O59" s="480"/>
      <c r="P59" s="480"/>
      <c r="Q59" s="480"/>
      <c r="R59" s="480"/>
      <c r="S59" s="480"/>
      <c r="T59" s="480"/>
      <c r="U59" s="480"/>
      <c r="V59" s="480"/>
    </row>
    <row r="60" spans="2:22" x14ac:dyDescent="0.2">
      <c r="B60" s="480"/>
      <c r="C60" s="480"/>
      <c r="D60" s="480"/>
      <c r="E60" s="480"/>
      <c r="F60" s="480"/>
      <c r="G60" s="480"/>
      <c r="H60" s="480"/>
      <c r="I60" s="480"/>
      <c r="J60" s="480"/>
      <c r="K60" s="480"/>
      <c r="L60" s="480"/>
      <c r="M60" s="480"/>
      <c r="N60" s="480"/>
      <c r="O60" s="480"/>
      <c r="P60" s="480"/>
      <c r="Q60" s="480"/>
      <c r="R60" s="480"/>
      <c r="S60" s="480"/>
      <c r="T60" s="480"/>
      <c r="U60" s="480"/>
      <c r="V60" s="480"/>
    </row>
    <row r="61" spans="2:22" x14ac:dyDescent="0.2">
      <c r="B61" s="480"/>
      <c r="C61" s="480"/>
      <c r="D61" s="480"/>
      <c r="E61" s="480"/>
      <c r="F61" s="480"/>
      <c r="G61" s="480"/>
      <c r="H61" s="480"/>
      <c r="I61" s="480"/>
      <c r="J61" s="480"/>
      <c r="K61" s="480"/>
      <c r="L61" s="480"/>
      <c r="M61" s="480"/>
      <c r="N61" s="480"/>
      <c r="O61" s="480"/>
      <c r="P61" s="480"/>
      <c r="Q61" s="480"/>
      <c r="R61" s="480"/>
      <c r="S61" s="480"/>
      <c r="T61" s="480"/>
      <c r="U61" s="480"/>
      <c r="V61" s="480"/>
    </row>
    <row r="62" spans="2:22" x14ac:dyDescent="0.2">
      <c r="B62" s="480"/>
      <c r="C62" s="480"/>
      <c r="D62" s="480"/>
      <c r="E62" s="480"/>
      <c r="F62" s="480"/>
      <c r="G62" s="480"/>
      <c r="H62" s="480"/>
      <c r="I62" s="480"/>
      <c r="J62" s="480"/>
      <c r="K62" s="480"/>
      <c r="L62" s="480"/>
      <c r="M62" s="480"/>
      <c r="N62" s="480"/>
      <c r="O62" s="480"/>
      <c r="P62" s="480"/>
      <c r="Q62" s="480"/>
      <c r="R62" s="480"/>
      <c r="S62" s="480"/>
      <c r="T62" s="480"/>
      <c r="U62" s="480"/>
      <c r="V62" s="480"/>
    </row>
    <row r="63" spans="2:22" ht="14.45" customHeight="1" x14ac:dyDescent="0.2">
      <c r="B63" s="480"/>
      <c r="C63" s="480"/>
      <c r="D63" s="480"/>
      <c r="E63" s="480"/>
      <c r="F63" s="480"/>
      <c r="G63" s="480"/>
      <c r="H63" s="480"/>
      <c r="I63" s="480"/>
      <c r="J63" s="480"/>
      <c r="K63" s="480"/>
      <c r="L63" s="480"/>
      <c r="M63" s="480"/>
      <c r="N63" s="480"/>
      <c r="O63" s="480"/>
      <c r="P63" s="480"/>
      <c r="Q63" s="480"/>
      <c r="R63" s="480"/>
      <c r="S63" s="480"/>
      <c r="T63" s="480"/>
      <c r="U63" s="480"/>
      <c r="V63" s="480"/>
    </row>
    <row r="64" spans="2:22" x14ac:dyDescent="0.2">
      <c r="B64" s="480"/>
      <c r="C64" s="480"/>
      <c r="D64" s="480"/>
      <c r="E64" s="480"/>
      <c r="F64" s="480"/>
      <c r="G64" s="480"/>
      <c r="H64" s="480"/>
      <c r="I64" s="480"/>
      <c r="J64" s="480"/>
      <c r="K64" s="480"/>
      <c r="L64" s="480"/>
      <c r="M64" s="480"/>
      <c r="N64" s="480"/>
      <c r="O64" s="480"/>
      <c r="P64" s="480"/>
      <c r="Q64" s="480"/>
      <c r="R64" s="480"/>
      <c r="S64" s="480"/>
      <c r="T64" s="480"/>
      <c r="U64" s="480"/>
      <c r="V64" s="480"/>
    </row>
    <row r="65" spans="2:22" x14ac:dyDescent="0.2">
      <c r="B65" s="480"/>
      <c r="C65" s="480"/>
      <c r="D65" s="480"/>
      <c r="E65" s="480"/>
      <c r="F65" s="480"/>
      <c r="G65" s="480"/>
      <c r="H65" s="480"/>
      <c r="I65" s="480"/>
      <c r="J65" s="480"/>
      <c r="K65" s="480"/>
      <c r="L65" s="480"/>
      <c r="M65" s="480"/>
      <c r="N65" s="480"/>
      <c r="O65" s="480"/>
      <c r="P65" s="480"/>
      <c r="Q65" s="480"/>
      <c r="R65" s="480"/>
      <c r="S65" s="480"/>
      <c r="T65" s="480"/>
      <c r="U65" s="480"/>
      <c r="V65" s="480"/>
    </row>
    <row r="66" spans="2:22" x14ac:dyDescent="0.2">
      <c r="B66" s="480"/>
      <c r="C66" s="480"/>
      <c r="D66" s="480"/>
      <c r="E66" s="480"/>
      <c r="F66" s="480"/>
      <c r="G66" s="480"/>
      <c r="H66" s="480"/>
      <c r="I66" s="480"/>
      <c r="J66" s="480"/>
      <c r="K66" s="480"/>
      <c r="L66" s="480"/>
      <c r="M66" s="480"/>
      <c r="N66" s="480"/>
      <c r="O66" s="480"/>
      <c r="P66" s="480"/>
      <c r="Q66" s="480"/>
      <c r="R66" s="480"/>
      <c r="S66" s="480"/>
      <c r="T66" s="480"/>
      <c r="U66" s="480"/>
      <c r="V66" s="480"/>
    </row>
    <row r="67" spans="2:22" x14ac:dyDescent="0.2">
      <c r="B67" s="480"/>
      <c r="C67" s="480"/>
      <c r="D67" s="480"/>
      <c r="E67" s="480"/>
      <c r="F67" s="480"/>
      <c r="G67" s="480"/>
      <c r="H67" s="480"/>
      <c r="I67" s="480"/>
      <c r="J67" s="480"/>
      <c r="K67" s="480"/>
      <c r="L67" s="480"/>
      <c r="M67" s="480"/>
      <c r="N67" s="480"/>
      <c r="O67" s="480"/>
      <c r="P67" s="480"/>
      <c r="Q67" s="480"/>
      <c r="R67" s="480"/>
      <c r="S67" s="480"/>
      <c r="T67" s="480"/>
      <c r="U67" s="480"/>
      <c r="V67" s="480"/>
    </row>
    <row r="68" spans="2:22" x14ac:dyDescent="0.2">
      <c r="B68" s="480"/>
      <c r="C68" s="480"/>
      <c r="D68" s="480"/>
      <c r="E68" s="480"/>
      <c r="F68" s="480"/>
      <c r="G68" s="480"/>
      <c r="H68" s="480"/>
      <c r="I68" s="480"/>
      <c r="J68" s="480"/>
      <c r="K68" s="480"/>
      <c r="L68" s="480"/>
      <c r="M68" s="480"/>
      <c r="N68" s="480"/>
      <c r="O68" s="480"/>
      <c r="P68" s="480"/>
      <c r="Q68" s="480"/>
      <c r="R68" s="480"/>
      <c r="S68" s="480"/>
      <c r="T68" s="480"/>
      <c r="U68" s="480"/>
      <c r="V68" s="480"/>
    </row>
    <row r="69" spans="2:22" x14ac:dyDescent="0.2">
      <c r="B69" s="480"/>
      <c r="C69" s="480"/>
      <c r="D69" s="480"/>
      <c r="E69" s="480"/>
      <c r="F69" s="480"/>
      <c r="G69" s="480"/>
      <c r="H69" s="480"/>
      <c r="I69" s="480"/>
      <c r="J69" s="480"/>
      <c r="K69" s="480"/>
      <c r="L69" s="480"/>
      <c r="M69" s="480"/>
      <c r="N69" s="480"/>
      <c r="O69" s="480"/>
      <c r="P69" s="480"/>
      <c r="Q69" s="480"/>
      <c r="R69" s="480"/>
      <c r="S69" s="480"/>
      <c r="T69" s="480"/>
      <c r="U69" s="480"/>
      <c r="V69" s="480"/>
    </row>
    <row r="70" spans="2:22" x14ac:dyDescent="0.2">
      <c r="B70" s="480"/>
      <c r="C70" s="480"/>
      <c r="D70" s="480"/>
      <c r="E70" s="480"/>
      <c r="F70" s="480"/>
      <c r="G70" s="480"/>
      <c r="H70" s="480"/>
      <c r="I70" s="480"/>
      <c r="J70" s="480"/>
      <c r="K70" s="480"/>
      <c r="L70" s="480"/>
      <c r="M70" s="480"/>
      <c r="N70" s="480"/>
      <c r="O70" s="480"/>
      <c r="P70" s="480"/>
      <c r="Q70" s="480"/>
      <c r="R70" s="480"/>
      <c r="S70" s="480"/>
      <c r="T70" s="480"/>
      <c r="U70" s="480"/>
      <c r="V70" s="480"/>
    </row>
    <row r="71" spans="2:22" x14ac:dyDescent="0.2">
      <c r="B71" s="480"/>
      <c r="C71" s="480"/>
      <c r="D71" s="480"/>
      <c r="E71" s="480"/>
      <c r="F71" s="480"/>
      <c r="G71" s="480"/>
      <c r="H71" s="480"/>
      <c r="I71" s="480"/>
      <c r="J71" s="480"/>
      <c r="K71" s="480"/>
      <c r="L71" s="480"/>
      <c r="M71" s="480"/>
      <c r="N71" s="480"/>
      <c r="O71" s="480"/>
      <c r="P71" s="480"/>
      <c r="Q71" s="480"/>
      <c r="R71" s="480"/>
      <c r="S71" s="480"/>
      <c r="T71" s="480"/>
      <c r="U71" s="480"/>
      <c r="V71" s="480"/>
    </row>
    <row r="72" spans="2:22" x14ac:dyDescent="0.2">
      <c r="B72" s="480"/>
      <c r="C72" s="480"/>
      <c r="D72" s="480"/>
      <c r="E72" s="480"/>
      <c r="F72" s="480"/>
      <c r="G72" s="480"/>
      <c r="H72" s="480"/>
      <c r="I72" s="480"/>
      <c r="J72" s="480"/>
      <c r="K72" s="480"/>
      <c r="L72" s="480"/>
      <c r="M72" s="480"/>
      <c r="N72" s="480"/>
      <c r="O72" s="480"/>
      <c r="P72" s="480"/>
      <c r="Q72" s="480"/>
      <c r="R72" s="480"/>
      <c r="S72" s="480"/>
      <c r="T72" s="480"/>
      <c r="U72" s="480"/>
      <c r="V72" s="480"/>
    </row>
    <row r="73" spans="2:22" x14ac:dyDescent="0.2">
      <c r="B73" s="480"/>
      <c r="C73" s="480"/>
      <c r="D73" s="480"/>
      <c r="E73" s="480"/>
      <c r="F73" s="480"/>
      <c r="G73" s="480"/>
      <c r="H73" s="480"/>
      <c r="I73" s="480"/>
      <c r="J73" s="480"/>
      <c r="K73" s="480"/>
      <c r="L73" s="480"/>
      <c r="M73" s="480"/>
      <c r="N73" s="480"/>
      <c r="O73" s="480"/>
      <c r="P73" s="480"/>
      <c r="Q73" s="480"/>
      <c r="R73" s="480"/>
      <c r="S73" s="480"/>
      <c r="T73" s="480"/>
      <c r="U73" s="480"/>
      <c r="V73" s="480"/>
    </row>
    <row r="74" spans="2:22" x14ac:dyDescent="0.2">
      <c r="B74" s="480"/>
      <c r="C74" s="480"/>
      <c r="D74" s="480"/>
      <c r="E74" s="480"/>
      <c r="F74" s="480"/>
      <c r="G74" s="480"/>
      <c r="H74" s="480"/>
      <c r="I74" s="480"/>
      <c r="J74" s="480"/>
      <c r="K74" s="480"/>
      <c r="L74" s="480"/>
      <c r="M74" s="480"/>
      <c r="N74" s="480"/>
      <c r="O74" s="480"/>
      <c r="P74" s="480"/>
      <c r="Q74" s="480"/>
      <c r="R74" s="480"/>
      <c r="S74" s="480"/>
      <c r="T74" s="480"/>
      <c r="U74" s="480"/>
      <c r="V74" s="480"/>
    </row>
    <row r="75" spans="2:22" x14ac:dyDescent="0.2">
      <c r="B75" s="480"/>
      <c r="C75" s="480"/>
      <c r="D75" s="480"/>
      <c r="E75" s="480"/>
      <c r="F75" s="480"/>
      <c r="G75" s="480"/>
      <c r="H75" s="480"/>
      <c r="I75" s="480"/>
      <c r="J75" s="480"/>
      <c r="K75" s="480"/>
      <c r="L75" s="480"/>
      <c r="M75" s="480"/>
      <c r="N75" s="480"/>
      <c r="O75" s="480"/>
      <c r="P75" s="480"/>
      <c r="Q75" s="480"/>
      <c r="R75" s="480"/>
      <c r="S75" s="480"/>
      <c r="T75" s="480"/>
      <c r="U75" s="480"/>
      <c r="V75" s="480"/>
    </row>
    <row r="76" spans="2:22" x14ac:dyDescent="0.2">
      <c r="B76" s="480"/>
      <c r="C76" s="480"/>
      <c r="D76" s="480"/>
      <c r="E76" s="480"/>
      <c r="F76" s="480"/>
      <c r="G76" s="480"/>
      <c r="H76" s="480"/>
      <c r="I76" s="480"/>
      <c r="J76" s="480"/>
      <c r="K76" s="480"/>
      <c r="L76" s="480"/>
      <c r="M76" s="480"/>
      <c r="N76" s="480"/>
      <c r="O76" s="480"/>
      <c r="P76" s="480"/>
      <c r="Q76" s="480"/>
      <c r="R76" s="480"/>
      <c r="S76" s="480"/>
      <c r="T76" s="480"/>
      <c r="U76" s="480"/>
      <c r="V76" s="480"/>
    </row>
    <row r="77" spans="2:22" x14ac:dyDescent="0.2">
      <c r="B77" s="480"/>
      <c r="C77" s="480"/>
      <c r="D77" s="480"/>
      <c r="E77" s="480"/>
      <c r="F77" s="480"/>
      <c r="G77" s="480"/>
      <c r="H77" s="480"/>
      <c r="I77" s="480"/>
      <c r="J77" s="480"/>
      <c r="K77" s="480"/>
      <c r="L77" s="480"/>
      <c r="M77" s="480"/>
      <c r="N77" s="480"/>
      <c r="O77" s="480"/>
      <c r="P77" s="480"/>
      <c r="Q77" s="480"/>
      <c r="R77" s="480"/>
      <c r="S77" s="480"/>
      <c r="T77" s="480"/>
      <c r="U77" s="480"/>
      <c r="V77" s="480"/>
    </row>
    <row r="78" spans="2:22" x14ac:dyDescent="0.2">
      <c r="B78" s="480"/>
      <c r="C78" s="480"/>
      <c r="D78" s="480"/>
      <c r="E78" s="480"/>
      <c r="F78" s="480"/>
      <c r="G78" s="480"/>
      <c r="H78" s="480"/>
      <c r="I78" s="480"/>
      <c r="J78" s="480"/>
      <c r="K78" s="480"/>
      <c r="L78" s="480"/>
      <c r="M78" s="480"/>
      <c r="N78" s="480"/>
      <c r="O78" s="480"/>
      <c r="P78" s="480"/>
      <c r="Q78" s="480"/>
      <c r="R78" s="480"/>
      <c r="S78" s="480"/>
      <c r="T78" s="480"/>
      <c r="U78" s="480"/>
      <c r="V78" s="480"/>
    </row>
    <row r="79" spans="2:22" x14ac:dyDescent="0.2">
      <c r="B79" s="480"/>
      <c r="C79" s="480"/>
      <c r="D79" s="480"/>
      <c r="E79" s="480"/>
      <c r="F79" s="480"/>
      <c r="G79" s="480"/>
      <c r="H79" s="480"/>
      <c r="I79" s="480"/>
      <c r="J79" s="480"/>
      <c r="K79" s="480"/>
      <c r="L79" s="480"/>
      <c r="M79" s="480"/>
      <c r="N79" s="480"/>
      <c r="O79" s="480"/>
      <c r="P79" s="480"/>
      <c r="Q79" s="480"/>
      <c r="R79" s="480"/>
      <c r="S79" s="480"/>
      <c r="T79" s="480"/>
      <c r="U79" s="480"/>
      <c r="V79" s="480"/>
    </row>
    <row r="80" spans="2:22" x14ac:dyDescent="0.2">
      <c r="B80" s="480"/>
      <c r="C80" s="480"/>
      <c r="D80" s="480"/>
      <c r="E80" s="480"/>
      <c r="F80" s="480"/>
      <c r="G80" s="480"/>
      <c r="H80" s="480"/>
      <c r="I80" s="480"/>
      <c r="J80" s="480"/>
      <c r="K80" s="480"/>
      <c r="L80" s="480"/>
      <c r="M80" s="480"/>
      <c r="N80" s="480"/>
      <c r="O80" s="480"/>
      <c r="P80" s="480"/>
      <c r="Q80" s="480"/>
      <c r="R80" s="480"/>
      <c r="S80" s="480"/>
      <c r="T80" s="480"/>
      <c r="U80" s="480"/>
      <c r="V80" s="480"/>
    </row>
    <row r="81" spans="2:22" x14ac:dyDescent="0.2">
      <c r="B81" s="480"/>
      <c r="C81" s="480"/>
      <c r="D81" s="480"/>
      <c r="E81" s="480"/>
      <c r="F81" s="480"/>
      <c r="G81" s="480"/>
      <c r="H81" s="480"/>
      <c r="I81" s="480"/>
      <c r="J81" s="480"/>
      <c r="K81" s="480"/>
      <c r="L81" s="480"/>
      <c r="M81" s="480"/>
      <c r="N81" s="480"/>
      <c r="O81" s="480"/>
      <c r="P81" s="480"/>
      <c r="Q81" s="480"/>
      <c r="R81" s="480"/>
      <c r="S81" s="480"/>
      <c r="T81" s="480"/>
      <c r="U81" s="480"/>
      <c r="V81" s="480"/>
    </row>
    <row r="82" spans="2:22" x14ac:dyDescent="0.2">
      <c r="B82" s="480"/>
      <c r="C82" s="480"/>
      <c r="D82" s="480"/>
      <c r="E82" s="480"/>
      <c r="F82" s="480"/>
      <c r="G82" s="480"/>
      <c r="H82" s="480"/>
      <c r="I82" s="480"/>
      <c r="J82" s="480"/>
      <c r="K82" s="480"/>
      <c r="L82" s="480"/>
      <c r="M82" s="480"/>
      <c r="N82" s="480"/>
      <c r="O82" s="480"/>
      <c r="P82" s="480"/>
      <c r="Q82" s="480"/>
      <c r="R82" s="480"/>
      <c r="S82" s="480"/>
      <c r="T82" s="480"/>
      <c r="U82" s="480"/>
      <c r="V82" s="480"/>
    </row>
    <row r="83" spans="2:22" x14ac:dyDescent="0.2">
      <c r="B83" s="480"/>
      <c r="C83" s="480"/>
      <c r="D83" s="480"/>
      <c r="E83" s="480"/>
      <c r="F83" s="480"/>
      <c r="G83" s="480"/>
      <c r="H83" s="480"/>
      <c r="I83" s="480"/>
      <c r="J83" s="480"/>
      <c r="K83" s="480"/>
      <c r="L83" s="480"/>
      <c r="M83" s="480"/>
      <c r="N83" s="480"/>
      <c r="O83" s="480"/>
      <c r="P83" s="480"/>
      <c r="Q83" s="480"/>
      <c r="R83" s="480"/>
      <c r="S83" s="480"/>
      <c r="T83" s="480"/>
      <c r="U83" s="480"/>
      <c r="V83" s="480"/>
    </row>
    <row r="84" spans="2:22" x14ac:dyDescent="0.2">
      <c r="B84" s="480"/>
      <c r="C84" s="480"/>
      <c r="D84" s="480"/>
      <c r="E84" s="480"/>
      <c r="F84" s="480"/>
      <c r="G84" s="480"/>
      <c r="H84" s="480"/>
      <c r="I84" s="480"/>
      <c r="J84" s="480"/>
      <c r="K84" s="480"/>
      <c r="L84" s="480"/>
      <c r="M84" s="480"/>
      <c r="N84" s="480"/>
      <c r="O84" s="480"/>
      <c r="P84" s="480"/>
      <c r="Q84" s="480"/>
      <c r="R84" s="480"/>
      <c r="S84" s="480"/>
      <c r="T84" s="480"/>
      <c r="U84" s="480"/>
      <c r="V84" s="480"/>
    </row>
    <row r="85" spans="2:22" x14ac:dyDescent="0.2">
      <c r="B85" s="480"/>
      <c r="C85" s="480"/>
      <c r="D85" s="480"/>
      <c r="E85" s="480"/>
      <c r="F85" s="480"/>
      <c r="G85" s="480"/>
      <c r="H85" s="480"/>
      <c r="I85" s="480"/>
      <c r="J85" s="480"/>
      <c r="K85" s="480"/>
      <c r="L85" s="480"/>
      <c r="M85" s="480"/>
      <c r="N85" s="480"/>
      <c r="O85" s="480"/>
      <c r="P85" s="480"/>
      <c r="Q85" s="480"/>
      <c r="R85" s="480"/>
      <c r="S85" s="480"/>
      <c r="T85" s="480"/>
      <c r="U85" s="480"/>
      <c r="V85" s="480"/>
    </row>
    <row r="86" spans="2:22" x14ac:dyDescent="0.2">
      <c r="B86" s="480"/>
      <c r="C86" s="480"/>
      <c r="D86" s="480"/>
      <c r="E86" s="480"/>
      <c r="F86" s="480"/>
      <c r="G86" s="480"/>
      <c r="H86" s="480"/>
      <c r="I86" s="480"/>
      <c r="J86" s="480"/>
      <c r="K86" s="480"/>
      <c r="L86" s="480"/>
      <c r="M86" s="480"/>
      <c r="N86" s="480"/>
      <c r="O86" s="480"/>
      <c r="P86" s="480"/>
      <c r="Q86" s="480"/>
      <c r="R86" s="480"/>
      <c r="S86" s="480"/>
      <c r="T86" s="480"/>
      <c r="U86" s="480"/>
      <c r="V86" s="480"/>
    </row>
    <row r="87" spans="2:22" x14ac:dyDescent="0.2">
      <c r="B87" s="480"/>
      <c r="C87" s="480"/>
      <c r="D87" s="480"/>
      <c r="E87" s="480"/>
      <c r="F87" s="480"/>
      <c r="G87" s="480"/>
      <c r="H87" s="480"/>
      <c r="I87" s="480"/>
      <c r="J87" s="480"/>
      <c r="K87" s="480"/>
      <c r="L87" s="480"/>
      <c r="M87" s="480"/>
      <c r="N87" s="480"/>
      <c r="O87" s="480"/>
      <c r="P87" s="480"/>
      <c r="Q87" s="480"/>
      <c r="R87" s="480"/>
      <c r="S87" s="480"/>
      <c r="T87" s="480"/>
      <c r="U87" s="480"/>
      <c r="V87" s="480"/>
    </row>
    <row r="88" spans="2:22" x14ac:dyDescent="0.2">
      <c r="B88" s="480"/>
      <c r="C88" s="480"/>
      <c r="D88" s="480"/>
      <c r="E88" s="480"/>
      <c r="F88" s="480"/>
      <c r="G88" s="480"/>
      <c r="H88" s="480"/>
      <c r="I88" s="480"/>
      <c r="J88" s="480"/>
      <c r="K88" s="480"/>
      <c r="L88" s="480"/>
      <c r="M88" s="480"/>
      <c r="N88" s="480"/>
      <c r="O88" s="480"/>
      <c r="P88" s="480"/>
      <c r="Q88" s="480"/>
      <c r="R88" s="480"/>
      <c r="S88" s="480"/>
      <c r="T88" s="480"/>
      <c r="U88" s="480"/>
      <c r="V88" s="480"/>
    </row>
    <row r="89" spans="2:22" x14ac:dyDescent="0.2">
      <c r="B89" s="480"/>
      <c r="C89" s="480"/>
      <c r="D89" s="480"/>
      <c r="E89" s="480"/>
      <c r="F89" s="480"/>
      <c r="G89" s="480"/>
      <c r="H89" s="480"/>
      <c r="I89" s="480"/>
      <c r="J89" s="480"/>
      <c r="K89" s="480"/>
      <c r="L89" s="480"/>
      <c r="M89" s="480"/>
      <c r="N89" s="480"/>
      <c r="O89" s="480"/>
      <c r="P89" s="480"/>
      <c r="Q89" s="480"/>
      <c r="R89" s="480"/>
      <c r="S89" s="480"/>
      <c r="T89" s="480"/>
      <c r="U89" s="480"/>
      <c r="V89" s="480"/>
    </row>
    <row r="90" spans="2:22" x14ac:dyDescent="0.2">
      <c r="B90" s="480"/>
      <c r="C90" s="480"/>
      <c r="D90" s="480"/>
      <c r="E90" s="480"/>
      <c r="F90" s="480"/>
      <c r="G90" s="480"/>
      <c r="H90" s="480"/>
      <c r="I90" s="480"/>
      <c r="J90" s="480"/>
      <c r="K90" s="480"/>
      <c r="L90" s="480"/>
      <c r="M90" s="480"/>
      <c r="N90" s="480"/>
      <c r="O90" s="480"/>
      <c r="P90" s="480"/>
      <c r="Q90" s="480"/>
      <c r="R90" s="480"/>
      <c r="S90" s="480"/>
      <c r="T90" s="480"/>
      <c r="U90" s="480"/>
      <c r="V90" s="480"/>
    </row>
    <row r="91" spans="2:22" x14ac:dyDescent="0.2">
      <c r="B91" s="480"/>
      <c r="C91" s="480"/>
      <c r="D91" s="480"/>
      <c r="E91" s="480"/>
      <c r="F91" s="480"/>
      <c r="G91" s="480"/>
      <c r="H91" s="480"/>
      <c r="I91" s="480"/>
      <c r="J91" s="480"/>
      <c r="K91" s="480"/>
      <c r="L91" s="480"/>
      <c r="M91" s="480"/>
      <c r="N91" s="480"/>
      <c r="O91" s="480"/>
      <c r="P91" s="480"/>
      <c r="Q91" s="480"/>
      <c r="R91" s="480"/>
      <c r="S91" s="480"/>
      <c r="T91" s="480"/>
      <c r="U91" s="480"/>
      <c r="V91" s="480"/>
    </row>
    <row r="92" spans="2:22" x14ac:dyDescent="0.2">
      <c r="B92" s="480"/>
      <c r="C92" s="480"/>
      <c r="D92" s="480"/>
      <c r="E92" s="480"/>
      <c r="F92" s="480"/>
      <c r="G92" s="480"/>
      <c r="H92" s="480"/>
      <c r="I92" s="480"/>
      <c r="J92" s="480"/>
      <c r="K92" s="480"/>
      <c r="L92" s="480"/>
      <c r="M92" s="480"/>
      <c r="N92" s="480"/>
      <c r="O92" s="480"/>
      <c r="P92" s="480"/>
      <c r="Q92" s="480"/>
      <c r="R92" s="480"/>
      <c r="S92" s="480"/>
      <c r="T92" s="480"/>
      <c r="U92" s="480"/>
      <c r="V92" s="480"/>
    </row>
    <row r="93" spans="2:22" x14ac:dyDescent="0.2">
      <c r="B93" s="480"/>
      <c r="C93" s="480"/>
      <c r="D93" s="480"/>
      <c r="E93" s="480"/>
      <c r="F93" s="480"/>
      <c r="G93" s="480"/>
      <c r="H93" s="480"/>
      <c r="I93" s="480"/>
      <c r="J93" s="480"/>
      <c r="K93" s="480"/>
      <c r="L93" s="480"/>
      <c r="M93" s="480"/>
      <c r="N93" s="480"/>
      <c r="O93" s="480"/>
      <c r="P93" s="480"/>
      <c r="Q93" s="480"/>
      <c r="R93" s="480"/>
      <c r="S93" s="480"/>
      <c r="T93" s="480"/>
      <c r="U93" s="480"/>
      <c r="V93" s="480"/>
    </row>
    <row r="94" spans="2:22" x14ac:dyDescent="0.2">
      <c r="B94" s="480"/>
      <c r="C94" s="480"/>
      <c r="D94" s="480"/>
      <c r="E94" s="480"/>
      <c r="F94" s="480"/>
      <c r="G94" s="480"/>
      <c r="H94" s="480"/>
      <c r="I94" s="480"/>
      <c r="J94" s="480"/>
      <c r="K94" s="480"/>
      <c r="L94" s="480"/>
      <c r="M94" s="480"/>
      <c r="N94" s="480"/>
      <c r="O94" s="480"/>
      <c r="P94" s="480"/>
      <c r="Q94" s="480"/>
      <c r="R94" s="480"/>
      <c r="S94" s="480"/>
      <c r="T94" s="480"/>
      <c r="U94" s="480"/>
      <c r="V94" s="480"/>
    </row>
    <row r="95" spans="2:22" x14ac:dyDescent="0.2">
      <c r="B95" s="480"/>
      <c r="C95" s="480"/>
      <c r="D95" s="480"/>
      <c r="E95" s="480"/>
      <c r="F95" s="480"/>
      <c r="G95" s="480"/>
      <c r="H95" s="480"/>
      <c r="I95" s="480"/>
      <c r="J95" s="480"/>
      <c r="K95" s="480"/>
      <c r="L95" s="480"/>
      <c r="M95" s="480"/>
      <c r="N95" s="480"/>
      <c r="O95" s="480"/>
      <c r="P95" s="480"/>
      <c r="Q95" s="480"/>
      <c r="R95" s="480"/>
      <c r="S95" s="480"/>
      <c r="T95" s="480"/>
      <c r="U95" s="480"/>
      <c r="V95" s="480"/>
    </row>
    <row r="96" spans="2:22" x14ac:dyDescent="0.2">
      <c r="B96" s="480"/>
      <c r="C96" s="480"/>
      <c r="D96" s="480"/>
      <c r="E96" s="480"/>
      <c r="F96" s="480"/>
      <c r="G96" s="480"/>
      <c r="H96" s="480"/>
      <c r="I96" s="480"/>
      <c r="J96" s="480"/>
      <c r="K96" s="480"/>
      <c r="L96" s="480"/>
      <c r="M96" s="480"/>
      <c r="N96" s="480"/>
      <c r="O96" s="480"/>
      <c r="P96" s="480"/>
      <c r="Q96" s="480"/>
      <c r="R96" s="480"/>
      <c r="S96" s="480"/>
      <c r="T96" s="480"/>
      <c r="U96" s="480"/>
      <c r="V96" s="480"/>
    </row>
    <row r="97" spans="2:22" x14ac:dyDescent="0.2">
      <c r="B97" s="480"/>
      <c r="C97" s="480"/>
      <c r="D97" s="480"/>
      <c r="E97" s="480"/>
      <c r="F97" s="480"/>
      <c r="G97" s="480"/>
      <c r="H97" s="480"/>
      <c r="I97" s="480"/>
      <c r="J97" s="480"/>
      <c r="K97" s="480"/>
      <c r="L97" s="480"/>
      <c r="M97" s="480"/>
      <c r="N97" s="480"/>
      <c r="O97" s="480"/>
      <c r="P97" s="480"/>
      <c r="Q97" s="480"/>
      <c r="R97" s="480"/>
      <c r="S97" s="480"/>
      <c r="T97" s="480"/>
      <c r="U97" s="480"/>
      <c r="V97" s="480"/>
    </row>
    <row r="98" spans="2:22" x14ac:dyDescent="0.2">
      <c r="B98" s="480"/>
      <c r="C98" s="480"/>
      <c r="D98" s="480"/>
      <c r="E98" s="480"/>
      <c r="F98" s="480"/>
      <c r="G98" s="480"/>
      <c r="H98" s="480"/>
      <c r="I98" s="480"/>
      <c r="J98" s="480"/>
      <c r="K98" s="480"/>
      <c r="L98" s="480"/>
      <c r="M98" s="480"/>
      <c r="N98" s="480"/>
      <c r="O98" s="480"/>
      <c r="P98" s="480"/>
      <c r="Q98" s="480"/>
      <c r="R98" s="480"/>
      <c r="S98" s="480"/>
      <c r="T98" s="480"/>
      <c r="U98" s="480"/>
      <c r="V98" s="480"/>
    </row>
    <row r="99" spans="2:22" x14ac:dyDescent="0.2">
      <c r="B99" s="480"/>
      <c r="C99" s="480"/>
      <c r="D99" s="480"/>
      <c r="E99" s="480"/>
      <c r="F99" s="480"/>
      <c r="G99" s="480"/>
      <c r="H99" s="480"/>
      <c r="I99" s="480"/>
      <c r="J99" s="480"/>
      <c r="K99" s="480"/>
      <c r="L99" s="480"/>
      <c r="M99" s="480"/>
      <c r="N99" s="480"/>
      <c r="O99" s="480"/>
      <c r="P99" s="480"/>
      <c r="Q99" s="480"/>
      <c r="R99" s="480"/>
      <c r="S99" s="480"/>
      <c r="T99" s="480"/>
      <c r="U99" s="480"/>
      <c r="V99" s="480"/>
    </row>
    <row r="100" spans="2:22" x14ac:dyDescent="0.2">
      <c r="B100" s="480"/>
      <c r="C100" s="480"/>
      <c r="D100" s="480"/>
      <c r="E100" s="480"/>
      <c r="F100" s="480"/>
      <c r="G100" s="480"/>
      <c r="H100" s="480"/>
      <c r="I100" s="480"/>
      <c r="J100" s="480"/>
      <c r="K100" s="480"/>
      <c r="L100" s="480"/>
      <c r="M100" s="480"/>
      <c r="N100" s="480"/>
      <c r="O100" s="480"/>
      <c r="P100" s="480"/>
      <c r="Q100" s="480"/>
      <c r="R100" s="480"/>
      <c r="S100" s="480"/>
      <c r="T100" s="480"/>
      <c r="U100" s="480"/>
      <c r="V100" s="480"/>
    </row>
    <row r="101" spans="2:22" x14ac:dyDescent="0.2">
      <c r="B101" s="480"/>
      <c r="C101" s="480"/>
      <c r="D101" s="480"/>
      <c r="E101" s="480"/>
      <c r="F101" s="480"/>
      <c r="G101" s="480"/>
      <c r="H101" s="480"/>
      <c r="I101" s="480"/>
      <c r="J101" s="480"/>
      <c r="K101" s="480"/>
      <c r="L101" s="480"/>
      <c r="M101" s="480"/>
      <c r="N101" s="480"/>
      <c r="O101" s="480"/>
      <c r="P101" s="480"/>
      <c r="Q101" s="480"/>
      <c r="R101" s="480"/>
      <c r="S101" s="480"/>
      <c r="T101" s="480"/>
      <c r="U101" s="480"/>
      <c r="V101" s="480"/>
    </row>
    <row r="102" spans="2:22" x14ac:dyDescent="0.2">
      <c r="B102" s="480"/>
      <c r="C102" s="480"/>
      <c r="D102" s="480"/>
      <c r="E102" s="480"/>
      <c r="F102" s="480"/>
      <c r="G102" s="480"/>
      <c r="H102" s="480"/>
      <c r="I102" s="480"/>
      <c r="J102" s="480"/>
      <c r="K102" s="480"/>
      <c r="L102" s="480"/>
      <c r="M102" s="480"/>
      <c r="N102" s="480"/>
      <c r="O102" s="480"/>
      <c r="P102" s="480"/>
      <c r="Q102" s="480"/>
      <c r="R102" s="480"/>
      <c r="S102" s="480"/>
      <c r="T102" s="480"/>
      <c r="U102" s="480"/>
      <c r="V102" s="480"/>
    </row>
    <row r="103" spans="2:22" x14ac:dyDescent="0.2">
      <c r="B103" s="480"/>
      <c r="C103" s="480"/>
      <c r="D103" s="480"/>
      <c r="E103" s="480"/>
      <c r="F103" s="480"/>
      <c r="G103" s="480"/>
      <c r="H103" s="480"/>
      <c r="I103" s="480"/>
      <c r="J103" s="480"/>
      <c r="K103" s="480"/>
      <c r="L103" s="480"/>
      <c r="M103" s="480"/>
      <c r="N103" s="480"/>
      <c r="O103" s="480"/>
      <c r="P103" s="480"/>
      <c r="Q103" s="480"/>
      <c r="R103" s="480"/>
      <c r="S103" s="480"/>
      <c r="T103" s="480"/>
      <c r="U103" s="480"/>
      <c r="V103" s="480"/>
    </row>
    <row r="104" spans="2:22" x14ac:dyDescent="0.2">
      <c r="B104" s="480"/>
      <c r="C104" s="480"/>
      <c r="D104" s="480"/>
      <c r="E104" s="480"/>
      <c r="F104" s="480"/>
      <c r="G104" s="480"/>
      <c r="H104" s="480"/>
      <c r="I104" s="480"/>
      <c r="J104" s="480"/>
      <c r="K104" s="480"/>
      <c r="L104" s="480"/>
      <c r="M104" s="480"/>
      <c r="N104" s="480"/>
      <c r="O104" s="480"/>
      <c r="P104" s="480"/>
      <c r="Q104" s="480"/>
      <c r="R104" s="480"/>
      <c r="S104" s="480"/>
      <c r="T104" s="480"/>
      <c r="U104" s="480"/>
      <c r="V104" s="480"/>
    </row>
    <row r="105" spans="2:22" x14ac:dyDescent="0.2">
      <c r="B105" s="480"/>
      <c r="C105" s="480"/>
      <c r="D105" s="480"/>
      <c r="E105" s="480"/>
      <c r="F105" s="480"/>
      <c r="G105" s="480"/>
      <c r="H105" s="480"/>
      <c r="I105" s="480"/>
      <c r="J105" s="480"/>
      <c r="K105" s="480"/>
      <c r="L105" s="480"/>
      <c r="M105" s="480"/>
      <c r="N105" s="480"/>
      <c r="O105" s="480"/>
      <c r="P105" s="480"/>
      <c r="Q105" s="480"/>
      <c r="R105" s="480"/>
      <c r="S105" s="480"/>
      <c r="T105" s="480"/>
      <c r="U105" s="480"/>
      <c r="V105" s="480"/>
    </row>
    <row r="106" spans="2:22" ht="23.45" customHeight="1" x14ac:dyDescent="0.2">
      <c r="B106" s="480"/>
      <c r="C106" s="480"/>
      <c r="D106" s="480"/>
      <c r="E106" s="480"/>
      <c r="F106" s="480"/>
      <c r="G106" s="480"/>
      <c r="H106" s="480"/>
      <c r="I106" s="480"/>
      <c r="J106" s="480"/>
      <c r="K106" s="480"/>
      <c r="L106" s="480"/>
      <c r="M106" s="480"/>
      <c r="N106" s="480"/>
      <c r="O106" s="480"/>
      <c r="P106" s="480"/>
      <c r="Q106" s="480"/>
      <c r="R106" s="480"/>
      <c r="S106" s="480"/>
      <c r="T106" s="480"/>
      <c r="U106" s="480"/>
      <c r="V106" s="480"/>
    </row>
    <row r="107" spans="2:22" x14ac:dyDescent="0.2">
      <c r="B107" t="s">
        <v>331</v>
      </c>
    </row>
  </sheetData>
  <sheetProtection sheet="1" objects="1" scenarios="1"/>
  <mergeCells count="6">
    <mergeCell ref="B5:G5"/>
    <mergeCell ref="B13:G13"/>
    <mergeCell ref="B20:G20"/>
    <mergeCell ref="B33:G33"/>
    <mergeCell ref="B37:V106"/>
    <mergeCell ref="B36:C36"/>
  </mergeCells>
  <pageMargins left="0.7" right="0.7" top="0.75" bottom="0.75" header="0.3" footer="0.3"/>
  <pageSetup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U40"/>
  <sheetViews>
    <sheetView zoomScale="60" zoomScaleNormal="60" workbookViewId="0">
      <pane xSplit="9" topLeftCell="L1" activePane="topRight" state="frozen"/>
      <selection pane="topRight" activeCell="E18" sqref="E18"/>
    </sheetView>
  </sheetViews>
  <sheetFormatPr defaultColWidth="0" defaultRowHeight="15" zeroHeight="1" x14ac:dyDescent="0.2"/>
  <cols>
    <col min="1" max="1" width="2.625" style="31" customWidth="1"/>
    <col min="2" max="2" width="29.75" style="35" customWidth="1"/>
    <col min="3" max="3" width="29.75" style="32" hidden="1" customWidth="1"/>
    <col min="4" max="7" width="29.75" style="35" customWidth="1"/>
    <col min="8" max="8" width="2.625" style="31" customWidth="1"/>
    <col min="9" max="45" width="30.625" style="35" customWidth="1"/>
    <col min="46" max="46" width="2.625" style="31" customWidth="1"/>
    <col min="47" max="47" width="19.125" style="35" hidden="1" customWidth="1"/>
    <col min="48" max="16384" width="7.25" style="35" hidden="1"/>
  </cols>
  <sheetData>
    <row r="1" spans="1:46" s="31" customFormat="1" x14ac:dyDescent="0.2">
      <c r="A1" s="231"/>
      <c r="B1" s="231"/>
      <c r="C1" s="32"/>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row>
    <row r="2" spans="1:46" s="225" customFormat="1" ht="15.75" x14ac:dyDescent="0.2">
      <c r="A2" s="223"/>
      <c r="B2" s="206" t="s">
        <v>332</v>
      </c>
      <c r="C2" s="224"/>
      <c r="D2" s="206"/>
      <c r="E2" s="206"/>
      <c r="F2" s="206"/>
      <c r="G2" s="206"/>
      <c r="H2" s="223"/>
      <c r="I2" s="206" t="s">
        <v>333</v>
      </c>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23"/>
    </row>
    <row r="3" spans="1:46" s="232" customFormat="1" ht="15.75" x14ac:dyDescent="0.2">
      <c r="A3" s="231"/>
      <c r="B3" s="238" t="s">
        <v>334</v>
      </c>
      <c r="C3" s="202"/>
      <c r="D3" s="202"/>
      <c r="E3" s="202"/>
      <c r="F3" s="202"/>
      <c r="G3" s="202"/>
      <c r="H3" s="231"/>
      <c r="I3" s="36" t="str">
        <f>Comparaison!B34</f>
        <v>Durée du cycle de rotation</v>
      </c>
      <c r="J3" s="36" t="str">
        <f>Comparaison!C34</f>
        <v>2 ans</v>
      </c>
      <c r="K3" s="36"/>
      <c r="L3" s="36"/>
      <c r="M3" s="36"/>
      <c r="N3" s="36"/>
      <c r="O3" s="36"/>
      <c r="P3" s="36"/>
      <c r="Q3" s="36"/>
      <c r="R3" s="36"/>
      <c r="S3" s="36"/>
      <c r="T3" s="36"/>
      <c r="U3" s="36"/>
      <c r="V3" s="36">
        <f>Comparaison!O34</f>
        <v>0</v>
      </c>
      <c r="W3" s="36"/>
      <c r="X3" s="36"/>
      <c r="Y3" s="36"/>
      <c r="Z3" s="36"/>
      <c r="AA3" s="36"/>
      <c r="AB3" s="36"/>
      <c r="AC3" s="36"/>
      <c r="AD3" s="36"/>
      <c r="AE3" s="36"/>
      <c r="AF3" s="36"/>
      <c r="AG3" s="36"/>
      <c r="AH3" s="36" t="str">
        <f>Comparaison!AA34</f>
        <v>4 ans</v>
      </c>
      <c r="AI3" s="36"/>
      <c r="AJ3" s="36"/>
      <c r="AK3" s="36"/>
      <c r="AL3" s="36"/>
      <c r="AM3" s="36"/>
      <c r="AN3" s="36"/>
      <c r="AO3" s="36"/>
      <c r="AP3" s="36"/>
      <c r="AQ3" s="36"/>
      <c r="AR3" s="36"/>
      <c r="AS3" s="36"/>
      <c r="AT3" s="231"/>
    </row>
    <row r="4" spans="1:46" s="232" customFormat="1" ht="15.75" x14ac:dyDescent="0.2">
      <c r="A4" s="231"/>
      <c r="B4" s="230" t="s">
        <v>335</v>
      </c>
      <c r="C4" s="202"/>
      <c r="D4" s="202"/>
      <c r="E4" s="202"/>
      <c r="F4" s="202"/>
      <c r="G4" s="202"/>
      <c r="H4" s="231"/>
      <c r="I4" s="36" t="str">
        <f>Comparaison!B35</f>
        <v>Cycle de rotation</v>
      </c>
      <c r="J4" s="37" t="str">
        <f>Comparaison!C35</f>
        <v>1st</v>
      </c>
      <c r="K4" s="38"/>
      <c r="L4" s="19" t="str">
        <f>Comparaison!E35</f>
        <v>2nd</v>
      </c>
      <c r="M4" s="19"/>
      <c r="N4" s="19" t="str">
        <f>Comparaison!G35</f>
        <v>3rd</v>
      </c>
      <c r="O4" s="19"/>
      <c r="P4" s="19" t="str">
        <f>Comparaison!I35</f>
        <v>4th</v>
      </c>
      <c r="Q4" s="19"/>
      <c r="R4" s="19" t="str">
        <f>Comparaison!K35</f>
        <v>5th</v>
      </c>
      <c r="S4" s="19"/>
      <c r="T4" s="19" t="str">
        <f>Comparaison!M35</f>
        <v>6th</v>
      </c>
      <c r="U4" s="19"/>
      <c r="V4" s="37" t="str">
        <f>Comparaison!O35</f>
        <v>1st</v>
      </c>
      <c r="W4" s="39"/>
      <c r="X4" s="38"/>
      <c r="Y4" s="19" t="str">
        <f>Comparaison!R35</f>
        <v>2nd</v>
      </c>
      <c r="Z4" s="19"/>
      <c r="AA4" s="19"/>
      <c r="AB4" s="19" t="str">
        <f>Comparaison!U35</f>
        <v>3rd</v>
      </c>
      <c r="AC4" s="19"/>
      <c r="AD4" s="19"/>
      <c r="AE4" s="19" t="str">
        <f>Comparaison!X35</f>
        <v>4th</v>
      </c>
      <c r="AF4" s="19"/>
      <c r="AG4" s="19"/>
      <c r="AH4" s="37" t="str">
        <f>Comparaison!AA35</f>
        <v>1st</v>
      </c>
      <c r="AI4" s="39"/>
      <c r="AJ4" s="39"/>
      <c r="AK4" s="38"/>
      <c r="AL4" s="19" t="str">
        <f>Comparaison!AE35</f>
        <v>2nd</v>
      </c>
      <c r="AM4" s="19"/>
      <c r="AN4" s="19"/>
      <c r="AO4" s="19"/>
      <c r="AP4" s="19" t="str">
        <f>Comparaison!AI35</f>
        <v>3rd</v>
      </c>
      <c r="AQ4" s="19"/>
      <c r="AR4" s="19"/>
      <c r="AS4" s="19"/>
      <c r="AT4" s="231"/>
    </row>
    <row r="5" spans="1:46" s="232" customFormat="1" ht="15.75" x14ac:dyDescent="0.2">
      <c r="A5" s="231"/>
      <c r="B5" s="230" t="s">
        <v>336</v>
      </c>
      <c r="C5" s="202"/>
      <c r="D5" s="229"/>
      <c r="E5" s="202"/>
      <c r="F5" s="202"/>
      <c r="G5" s="202"/>
      <c r="H5" s="231"/>
      <c r="I5" s="36" t="str">
        <f>Comparaison!B36</f>
        <v>Année</v>
      </c>
      <c r="J5" s="146">
        <f>Comparaison!C36</f>
        <v>1</v>
      </c>
      <c r="K5" s="128">
        <f>Comparaison!D36</f>
        <v>2</v>
      </c>
      <c r="L5" s="21">
        <f>Comparaison!E36</f>
        <v>3</v>
      </c>
      <c r="M5" s="21">
        <f>Comparaison!F36</f>
        <v>4</v>
      </c>
      <c r="N5" s="20">
        <f>Comparaison!G36</f>
        <v>5</v>
      </c>
      <c r="O5" s="20">
        <f>Comparaison!H36</f>
        <v>6</v>
      </c>
      <c r="P5" s="20">
        <f>Comparaison!I36</f>
        <v>7</v>
      </c>
      <c r="Q5" s="20">
        <f>Comparaison!J36</f>
        <v>8</v>
      </c>
      <c r="R5" s="20">
        <f>Comparaison!K36</f>
        <v>9</v>
      </c>
      <c r="S5" s="20">
        <f>Comparaison!L36</f>
        <v>10</v>
      </c>
      <c r="T5" s="20">
        <f>Comparaison!M36</f>
        <v>11</v>
      </c>
      <c r="U5" s="21">
        <f>Comparaison!N36</f>
        <v>12</v>
      </c>
      <c r="V5" s="146">
        <f>Comparaison!O36</f>
        <v>1</v>
      </c>
      <c r="W5" s="21">
        <f>Comparaison!P36</f>
        <v>2</v>
      </c>
      <c r="X5" s="128">
        <f>Comparaison!Q36</f>
        <v>3</v>
      </c>
      <c r="Y5" s="21">
        <f>Comparaison!R36</f>
        <v>4</v>
      </c>
      <c r="Z5" s="20">
        <f>Comparaison!S36</f>
        <v>5</v>
      </c>
      <c r="AA5" s="20">
        <f>Comparaison!T36</f>
        <v>6</v>
      </c>
      <c r="AB5" s="20">
        <f>Comparaison!U36</f>
        <v>7</v>
      </c>
      <c r="AC5" s="20">
        <f>Comparaison!V36</f>
        <v>8</v>
      </c>
      <c r="AD5" s="20">
        <f>Comparaison!W36</f>
        <v>9</v>
      </c>
      <c r="AE5" s="20">
        <f>Comparaison!X36</f>
        <v>10</v>
      </c>
      <c r="AF5" s="20">
        <f>Comparaison!Y36</f>
        <v>11</v>
      </c>
      <c r="AG5" s="21">
        <f>Comparaison!Z36</f>
        <v>12</v>
      </c>
      <c r="AH5" s="146">
        <f>Comparaison!AA36</f>
        <v>1</v>
      </c>
      <c r="AI5" s="21">
        <f>Comparaison!AB36</f>
        <v>2</v>
      </c>
      <c r="AJ5" s="21">
        <f>Comparaison!AC36</f>
        <v>3</v>
      </c>
      <c r="AK5" s="128">
        <f>Comparaison!AD36</f>
        <v>4</v>
      </c>
      <c r="AL5" s="20">
        <f>Comparaison!AE36</f>
        <v>5</v>
      </c>
      <c r="AM5" s="20">
        <f>Comparaison!AF36</f>
        <v>6</v>
      </c>
      <c r="AN5" s="20">
        <f>Comparaison!AG36</f>
        <v>7</v>
      </c>
      <c r="AO5" s="20">
        <f>Comparaison!AH36</f>
        <v>8</v>
      </c>
      <c r="AP5" s="20">
        <f>Comparaison!AI36</f>
        <v>9</v>
      </c>
      <c r="AQ5" s="20">
        <f>Comparaison!AJ36</f>
        <v>10</v>
      </c>
      <c r="AR5" s="20">
        <f>Comparaison!AK36</f>
        <v>11</v>
      </c>
      <c r="AS5" s="21">
        <f>Comparaison!AL36</f>
        <v>12</v>
      </c>
      <c r="AT5" s="231"/>
    </row>
    <row r="6" spans="1:46" s="232" customFormat="1" ht="15.75" x14ac:dyDescent="0.2">
      <c r="A6" s="231"/>
      <c r="B6" s="230" t="s">
        <v>337</v>
      </c>
      <c r="C6" s="202"/>
      <c r="D6" s="202"/>
      <c r="E6" s="202"/>
      <c r="F6" s="202"/>
      <c r="G6" s="202"/>
      <c r="H6" s="231"/>
      <c r="I6" s="36" t="str">
        <f>Comparaison!B37</f>
        <v>Culture sélectionnée [dans l’onglet Tableau de bord]</v>
      </c>
      <c r="J6" s="196" t="str">
        <f>Comparaison!C37</f>
        <v>Pommes de terre</v>
      </c>
      <c r="K6" s="192" t="str">
        <f>Comparaison!D37</f>
        <v>Maïs</v>
      </c>
      <c r="L6" s="192" t="str">
        <f>Comparaison!E37</f>
        <v>Pommes de terre</v>
      </c>
      <c r="M6" s="192" t="str">
        <f>Comparaison!F37</f>
        <v>Maïs</v>
      </c>
      <c r="N6" s="192" t="str">
        <f>Comparaison!G37</f>
        <v>Pommes de terre</v>
      </c>
      <c r="O6" s="192" t="str">
        <f>Comparaison!H37</f>
        <v>Maïs</v>
      </c>
      <c r="P6" s="192" t="str">
        <f>Comparaison!I37</f>
        <v>Pommes de terre</v>
      </c>
      <c r="Q6" s="192" t="str">
        <f>Comparaison!J37</f>
        <v>Maïs</v>
      </c>
      <c r="R6" s="192" t="str">
        <f>Comparaison!K37</f>
        <v>Pommes de terre</v>
      </c>
      <c r="S6" s="192" t="str">
        <f>Comparaison!L37</f>
        <v>Maïs</v>
      </c>
      <c r="T6" s="192" t="str">
        <f>Comparaison!M37</f>
        <v>Pommes de terre</v>
      </c>
      <c r="U6" s="192" t="str">
        <f>Comparaison!N37</f>
        <v>Maïs</v>
      </c>
      <c r="V6" s="192" t="str">
        <f>Comparaison!O37</f>
        <v>Pommes de terre</v>
      </c>
      <c r="W6" s="192" t="str">
        <f>Comparaison!P37</f>
        <v>Orge</v>
      </c>
      <c r="X6" s="193" t="str">
        <f>Comparaison!Q37</f>
        <v>Culture fourragère (An 1)</v>
      </c>
      <c r="Y6" s="192" t="str">
        <f>Comparaison!R37</f>
        <v>Pommes de terre</v>
      </c>
      <c r="Z6" s="192" t="str">
        <f>Comparaison!S37</f>
        <v>Orge</v>
      </c>
      <c r="AA6" s="192" t="str">
        <f>Comparaison!T37</f>
        <v>Culture fourragère (An 1)</v>
      </c>
      <c r="AB6" s="192" t="str">
        <f>Comparaison!U37</f>
        <v>Pommes de terre</v>
      </c>
      <c r="AC6" s="192" t="str">
        <f>Comparaison!V37</f>
        <v>Orge</v>
      </c>
      <c r="AD6" s="192" t="str">
        <f>Comparaison!W37</f>
        <v>Culture fourragère (An 1)</v>
      </c>
      <c r="AE6" s="192" t="str">
        <f>Comparaison!X37</f>
        <v>Pommes de terre</v>
      </c>
      <c r="AF6" s="192" t="str">
        <f>Comparaison!Y37</f>
        <v>Orge</v>
      </c>
      <c r="AG6" s="192" t="str">
        <f>Comparaison!Z37</f>
        <v>Culture fourragère (An 1)</v>
      </c>
      <c r="AH6" s="193" t="str">
        <f>Comparaison!AA37</f>
        <v>Pommes de terre</v>
      </c>
      <c r="AI6" s="193" t="str">
        <f>Comparaison!AB37</f>
        <v>Maïs</v>
      </c>
      <c r="AJ6" s="193" t="str">
        <f>Comparaison!AC37</f>
        <v>Blé (hiver)</v>
      </c>
      <c r="AK6" s="193" t="str">
        <f>Comparaison!AD37</f>
        <v>Culture fourragère (An 1)</v>
      </c>
      <c r="AL6" s="193" t="str">
        <f>Comparaison!AE37</f>
        <v>Pommes de terre</v>
      </c>
      <c r="AM6" s="193" t="str">
        <f>Comparaison!AF37</f>
        <v>Maïs</v>
      </c>
      <c r="AN6" s="193" t="str">
        <f>Comparaison!AG37</f>
        <v>Blé (hiver)</v>
      </c>
      <c r="AO6" s="193" t="str">
        <f>Comparaison!AH37</f>
        <v>Culture fourragère (An 1)</v>
      </c>
      <c r="AP6" s="193" t="str">
        <f>Comparaison!AI37</f>
        <v>Pommes de terre</v>
      </c>
      <c r="AQ6" s="193" t="str">
        <f>Comparaison!AJ37</f>
        <v>Maïs</v>
      </c>
      <c r="AR6" s="193" t="str">
        <f>Comparaison!AK37</f>
        <v>Blé (hiver)</v>
      </c>
      <c r="AS6" s="193" t="str">
        <f>Comparaison!AL37</f>
        <v>Culture fourragère (An 1)</v>
      </c>
      <c r="AT6" s="231"/>
    </row>
    <row r="7" spans="1:46" s="232" customFormat="1" ht="15.75" x14ac:dyDescent="0.2">
      <c r="A7" s="231"/>
      <c r="B7" s="230" t="s">
        <v>338</v>
      </c>
      <c r="C7" s="202"/>
      <c r="D7" s="202"/>
      <c r="E7" s="202"/>
      <c r="F7" s="202"/>
      <c r="G7" s="202"/>
      <c r="H7" s="231"/>
      <c r="I7" s="36" t="s">
        <v>339</v>
      </c>
      <c r="J7" s="168">
        <v>0</v>
      </c>
      <c r="K7" s="151">
        <v>0</v>
      </c>
      <c r="L7" s="151">
        <v>0</v>
      </c>
      <c r="M7" s="151">
        <v>0</v>
      </c>
      <c r="N7" s="151">
        <v>0</v>
      </c>
      <c r="O7" s="151">
        <v>0</v>
      </c>
      <c r="P7" s="151">
        <v>0</v>
      </c>
      <c r="Q7" s="151">
        <v>0</v>
      </c>
      <c r="R7" s="151">
        <v>0</v>
      </c>
      <c r="S7" s="151">
        <v>0</v>
      </c>
      <c r="T7" s="151">
        <v>0</v>
      </c>
      <c r="U7" s="151">
        <v>0</v>
      </c>
      <c r="V7" s="151">
        <v>0</v>
      </c>
      <c r="W7" s="151">
        <v>0</v>
      </c>
      <c r="X7" s="151">
        <v>0</v>
      </c>
      <c r="Y7" s="151">
        <v>0</v>
      </c>
      <c r="Z7" s="151">
        <v>0</v>
      </c>
      <c r="AA7" s="151">
        <v>0</v>
      </c>
      <c r="AB7" s="151">
        <v>0</v>
      </c>
      <c r="AC7" s="151">
        <v>0</v>
      </c>
      <c r="AD7" s="151">
        <v>0</v>
      </c>
      <c r="AE7" s="151">
        <v>0</v>
      </c>
      <c r="AF7" s="151">
        <v>0</v>
      </c>
      <c r="AG7" s="151">
        <v>0</v>
      </c>
      <c r="AH7" s="151">
        <v>0</v>
      </c>
      <c r="AI7" s="151">
        <v>0</v>
      </c>
      <c r="AJ7" s="151">
        <v>0</v>
      </c>
      <c r="AK7" s="151">
        <v>0</v>
      </c>
      <c r="AL7" s="151">
        <v>0</v>
      </c>
      <c r="AM7" s="151">
        <v>0</v>
      </c>
      <c r="AN7" s="151">
        <v>0</v>
      </c>
      <c r="AO7" s="151">
        <v>0</v>
      </c>
      <c r="AP7" s="151">
        <v>0</v>
      </c>
      <c r="AQ7" s="151">
        <v>0</v>
      </c>
      <c r="AR7" s="151">
        <v>0</v>
      </c>
      <c r="AS7" s="151">
        <v>0</v>
      </c>
      <c r="AT7" s="231"/>
    </row>
    <row r="8" spans="1:46" s="235" customFormat="1" ht="105" x14ac:dyDescent="0.2">
      <c r="A8" s="233"/>
      <c r="B8" s="230" t="s">
        <v>340</v>
      </c>
      <c r="C8" s="32"/>
      <c r="D8" s="202"/>
      <c r="E8" s="202"/>
      <c r="F8" s="202"/>
      <c r="G8" s="202"/>
      <c r="H8" s="233"/>
      <c r="I8" s="40" t="s">
        <v>341</v>
      </c>
      <c r="J8" s="197" t="str">
        <f>$J$6</f>
        <v>Pommes de terre</v>
      </c>
      <c r="K8" s="195" t="str">
        <f>$J$6&amp;"-"&amp;K6</f>
        <v>Pommes de terre-Maïs</v>
      </c>
      <c r="L8" s="195" t="str">
        <f>$J$6&amp;"-"&amp;K6&amp;"-"&amp;L6</f>
        <v>Pommes de terre-Maïs-Pommes de terre</v>
      </c>
      <c r="M8" s="195" t="str">
        <f>$J$6&amp;"-"&amp;K6&amp;"-"&amp;L6&amp;"-"&amp;M6</f>
        <v>Pommes de terre-Maïs-Pommes de terre-Maïs</v>
      </c>
      <c r="N8" s="195" t="str">
        <f>$J$6&amp;"-"&amp;K6&amp;"-"&amp;L6&amp;"-"&amp;M6&amp;"-"&amp;N6</f>
        <v>Pommes de terre-Maïs-Pommes de terre-Maïs-Pommes de terre</v>
      </c>
      <c r="O8" s="195" t="str">
        <f>$J$6&amp;"-"&amp;K6&amp;"-"&amp;L6&amp;"-"&amp;M6&amp;"-"&amp;N6&amp;"-"&amp;O6</f>
        <v>Pommes de terre-Maïs-Pommes de terre-Maïs-Pommes de terre-Maïs</v>
      </c>
      <c r="P8" s="195" t="str">
        <f>$J$6&amp;"-"&amp;K6&amp;"-"&amp;L6&amp;"-"&amp;M6&amp;"-"&amp;N6&amp;"-"&amp;O6&amp;"-"&amp;P6</f>
        <v>Pommes de terre-Maïs-Pommes de terre-Maïs-Pommes de terre-Maïs-Pommes de terre</v>
      </c>
      <c r="Q8" s="195" t="str">
        <f>$J$6&amp;"-"&amp;K6&amp;"-"&amp;L6&amp;"-"&amp;M6&amp;"-"&amp;N6&amp;"-"&amp;O6&amp;"-"&amp;P6&amp;"-"&amp;Q6</f>
        <v>Pommes de terre-Maïs-Pommes de terre-Maïs-Pommes de terre-Maïs-Pommes de terre-Maïs</v>
      </c>
      <c r="R8" s="195" t="str">
        <f>$J$6&amp;"-"&amp;K6&amp;"-"&amp;L6&amp;"-"&amp;M6&amp;"-"&amp;N6&amp;"-"&amp;O6&amp;"-"&amp;P6&amp;"-"&amp;Q6&amp;"-"&amp;R6</f>
        <v>Pommes de terre-Maïs-Pommes de terre-Maïs-Pommes de terre-Maïs-Pommes de terre-Maïs-Pommes de terre</v>
      </c>
      <c r="S8" s="195" t="str">
        <f>$J$6&amp;"-"&amp;K6&amp;"-"&amp;L6&amp;"-"&amp;M6&amp;"-"&amp;N6&amp;"-"&amp;O6&amp;"-"&amp;P6&amp;"-"&amp;Q6&amp;"-"&amp;R6&amp;"-"&amp;S6</f>
        <v>Pommes de terre-Maïs-Pommes de terre-Maïs-Pommes de terre-Maïs-Pommes de terre-Maïs-Pommes de terre-Maïs</v>
      </c>
      <c r="T8" s="195" t="str">
        <f>$J$6&amp;"-"&amp;K6&amp;"-"&amp;L6&amp;"-"&amp;M6&amp;"-"&amp;N6&amp;"-"&amp;O6&amp;"-"&amp;P6&amp;"-"&amp;Q6&amp;"-"&amp;R6&amp;"-"&amp;S6&amp;"-"&amp;T6</f>
        <v>Pommes de terre-Maïs-Pommes de terre-Maïs-Pommes de terre-Maïs-Pommes de terre-Maïs-Pommes de terre-Maïs-Pommes de terre</v>
      </c>
      <c r="U8" s="234" t="str">
        <f>$J$6&amp;"-"&amp;K6&amp;"-"&amp;L6&amp;"-"&amp;M6&amp;"-"&amp;N6&amp;"-"&amp;O6&amp;"-"&amp;P6&amp;"-"&amp;Q6&amp;"-"&amp;R6&amp;"-"&amp;S6&amp;"-"&amp;T6&amp;"-"&amp;U6</f>
        <v>Pommes de terre-Maïs-Pommes de terre-Maïs-Pommes de terre-Maïs-Pommes de terre-Maïs-Pommes de terre-Maïs-Pommes de terre-Maïs</v>
      </c>
      <c r="V8" s="194" t="str">
        <f>V6</f>
        <v>Pommes de terre</v>
      </c>
      <c r="W8" s="195" t="str">
        <f>V6&amp;"-"&amp;W6</f>
        <v>Pommes de terre-Orge</v>
      </c>
      <c r="X8" s="195" t="str">
        <f>V6&amp;"-"&amp;W6&amp;"-"&amp;X6</f>
        <v>Pommes de terre-Orge-Culture fourragère (An 1)</v>
      </c>
      <c r="Y8" s="195" t="str">
        <f>V6&amp;"-"&amp;W6&amp;"-"&amp;X6&amp;"-"&amp;Y6</f>
        <v>Pommes de terre-Orge-Culture fourragère (An 1)-Pommes de terre</v>
      </c>
      <c r="Z8" s="195" t="str">
        <f>V6&amp;"-"&amp;W6&amp;"-"&amp;X6&amp;"-"&amp;Y6&amp;"-"&amp;Z6</f>
        <v>Pommes de terre-Orge-Culture fourragère (An 1)-Pommes de terre-Orge</v>
      </c>
      <c r="AA8" s="195" t="str">
        <f>V6&amp;"-"&amp;W6&amp;"-"&amp;X6&amp;"-"&amp;Y6&amp;"-"&amp;Z6&amp;"-"&amp;AA6</f>
        <v>Pommes de terre-Orge-Culture fourragère (An 1)-Pommes de terre-Orge-Culture fourragère (An 1)</v>
      </c>
      <c r="AB8" s="195" t="str">
        <f>V6&amp;"-"&amp;W6&amp;"-"&amp;X6&amp;"-"&amp;Y6&amp;"-"&amp;Z6&amp;"-"&amp;AA6&amp;"-"&amp;AB6</f>
        <v>Pommes de terre-Orge-Culture fourragère (An 1)-Pommes de terre-Orge-Culture fourragère (An 1)-Pommes de terre</v>
      </c>
      <c r="AC8" s="195" t="str">
        <f>V6&amp;"-"&amp;W6&amp;"-"&amp;X6&amp;"-"&amp;Y6&amp;"-"&amp;Z6&amp;"-"&amp;AA6&amp;"-"&amp;AB6&amp;"-"&amp;AC6</f>
        <v>Pommes de terre-Orge-Culture fourragère (An 1)-Pommes de terre-Orge-Culture fourragère (An 1)-Pommes de terre-Orge</v>
      </c>
      <c r="AD8" s="195" t="str">
        <f>V6&amp;"-"&amp;W6&amp;"-"&amp;X6&amp;"-"&amp;Y6&amp;"-"&amp;Z6&amp;"-"&amp;AA6&amp;"-"&amp;AB6&amp;"-"&amp;AC6&amp;"-"&amp;AD6</f>
        <v>Pommes de terre-Orge-Culture fourragère (An 1)-Pommes de terre-Orge-Culture fourragère (An 1)-Pommes de terre-Orge-Culture fourragère (An 1)</v>
      </c>
      <c r="AE8" s="195" t="str">
        <f>V6&amp;"-"&amp;W6&amp;"-"&amp;X6&amp;"-"&amp;Y6&amp;"-"&amp;Z6&amp;"-"&amp;AA6&amp;"-"&amp;AB6&amp;"-"&amp;AC6&amp;"-"&amp;AD6&amp;"-"&amp;AE6</f>
        <v>Pommes de terre-Orge-Culture fourragère (An 1)-Pommes de terre-Orge-Culture fourragère (An 1)-Pommes de terre-Orge-Culture fourragère (An 1)-Pommes de terre</v>
      </c>
      <c r="AF8" s="195" t="str">
        <f>V6&amp;"-"&amp;W6&amp;"-"&amp;X6&amp;"-"&amp;Y6&amp;"-"&amp;Z6&amp;"-"&amp;AA6&amp;"-"&amp;AB6&amp;"-"&amp;AC6&amp;"-"&amp;AD6&amp;"-"&amp;AE6&amp;"-"&amp;AF6</f>
        <v>Pommes de terre-Orge-Culture fourragère (An 1)-Pommes de terre-Orge-Culture fourragère (An 1)-Pommes de terre-Orge-Culture fourragère (An 1)-Pommes de terre-Orge</v>
      </c>
      <c r="AG8" s="195" t="str">
        <f>V6&amp;"-"&amp;W6&amp;"-"&amp;X6&amp;"-"&amp;Y6&amp;"-"&amp;Z6&amp;"-"&amp;AA6&amp;"-"&amp;AB6&amp;"-"&amp;AC6&amp;"-"&amp;AD6&amp;"-"&amp;AE6&amp;"-"&amp;AF6&amp;"-"&amp;AG6</f>
        <v>Pommes de terre-Orge-Culture fourragère (An 1)-Pommes de terre-Orge-Culture fourragère (An 1)-Pommes de terre-Orge-Culture fourragère (An 1)-Pommes de terre-Orge-Culture fourragère (An 1)</v>
      </c>
      <c r="AH8" s="195" t="str">
        <f>AH6</f>
        <v>Pommes de terre</v>
      </c>
      <c r="AI8" s="195" t="str">
        <f>AH6&amp;"-"&amp;AI6</f>
        <v>Pommes de terre-Maïs</v>
      </c>
      <c r="AJ8" s="195" t="str">
        <f>AH6&amp;"-"&amp;AI6&amp;"-"&amp;AJ6</f>
        <v>Pommes de terre-Maïs-Blé (hiver)</v>
      </c>
      <c r="AK8" s="195" t="str">
        <f>AH6&amp;"-"&amp;AI6&amp;"-"&amp;AJ6&amp;"-"&amp;AK6</f>
        <v>Pommes de terre-Maïs-Blé (hiver)-Culture fourragère (An 1)</v>
      </c>
      <c r="AL8" s="195" t="str">
        <f>AH6&amp;"-"&amp;AI6&amp;"-"&amp;AJ6&amp;"-"&amp;AK6&amp;"-"&amp;AL6</f>
        <v>Pommes de terre-Maïs-Blé (hiver)-Culture fourragère (An 1)-Pommes de terre</v>
      </c>
      <c r="AM8" s="195" t="str">
        <f>AH6&amp;"-"&amp;AI6&amp;"-"&amp;AJ6&amp;"-"&amp;AK6&amp;"-"&amp;AL6&amp;"-"&amp;AM6</f>
        <v>Pommes de terre-Maïs-Blé (hiver)-Culture fourragère (An 1)-Pommes de terre-Maïs</v>
      </c>
      <c r="AN8" s="195" t="str">
        <f>AH6&amp;"-"&amp;AI6&amp;"-"&amp;AJ6&amp;"-"&amp;AK6&amp;"-"&amp;AL6&amp;"-"&amp;AM6&amp;"-"&amp;AN6</f>
        <v>Pommes de terre-Maïs-Blé (hiver)-Culture fourragère (An 1)-Pommes de terre-Maïs-Blé (hiver)</v>
      </c>
      <c r="AO8" s="195" t="str">
        <f>AH6&amp;"-"&amp;AI6&amp;"-"&amp;AJ6&amp;"-"&amp;AK6&amp;"-"&amp;AL6&amp;"-"&amp;AM6&amp;"-"&amp;AN6&amp;"-"&amp;AO6</f>
        <v>Pommes de terre-Maïs-Blé (hiver)-Culture fourragère (An 1)-Pommes de terre-Maïs-Blé (hiver)-Culture fourragère (An 1)</v>
      </c>
      <c r="AP8" s="195" t="str">
        <f>AH6&amp;"-"&amp;AI6&amp;"-"&amp;AJ6&amp;"-"&amp;AK6&amp;"-"&amp;AL6&amp;"-"&amp;AM6&amp;"-"&amp;AN6&amp;"-"&amp;AO6&amp;"-"&amp;AP6</f>
        <v>Pommes de terre-Maïs-Blé (hiver)-Culture fourragère (An 1)-Pommes de terre-Maïs-Blé (hiver)-Culture fourragère (An 1)-Pommes de terre</v>
      </c>
      <c r="AQ8" s="195" t="str">
        <f>AH6&amp;"-"&amp;AI6&amp;"-"&amp;AJ6&amp;"-"&amp;AK6&amp;"-"&amp;AL6&amp;"-"&amp;AM6&amp;"-"&amp;AN6&amp;"-"&amp;AO6&amp;"-"&amp;AP6&amp;"-"&amp;AQ6</f>
        <v>Pommes de terre-Maïs-Blé (hiver)-Culture fourragère (An 1)-Pommes de terre-Maïs-Blé (hiver)-Culture fourragère (An 1)-Pommes de terre-Maïs</v>
      </c>
      <c r="AR8" s="195" t="str">
        <f>AH6&amp;"-"&amp;AI6&amp;"-"&amp;AJ6&amp;"-"&amp;AK6&amp;"-"&amp;AL6&amp;"-"&amp;AM6&amp;"-"&amp;AN6&amp;"-"&amp;AO6&amp;"-"&amp;AP6&amp;"-"&amp;AQ6&amp;"-"&amp;AR6</f>
        <v>Pommes de terre-Maïs-Blé (hiver)-Culture fourragère (An 1)-Pommes de terre-Maïs-Blé (hiver)-Culture fourragère (An 1)-Pommes de terre-Maïs-Blé (hiver)</v>
      </c>
      <c r="AS8" s="195" t="str">
        <f>AH6&amp;"-"&amp;AI6&amp;"-"&amp;AJ6&amp;"-"&amp;AK6&amp;"-"&amp;AL6&amp;"-"&amp;AM6&amp;"-"&amp;AN6&amp;"-"&amp;AO6&amp;"-"&amp;AP6&amp;"-"&amp;AQ6&amp;"-"&amp;AR6&amp;"-"&amp;AS6</f>
        <v>Pommes de terre-Maïs-Blé (hiver)-Culture fourragère (An 1)-Pommes de terre-Maïs-Blé (hiver)-Culture fourragère (An 1)-Pommes de terre-Maïs-Blé (hiver)-Culture fourragère (An 1)</v>
      </c>
      <c r="AT8" s="233"/>
    </row>
    <row r="9" spans="1:46" s="32" customFormat="1" hidden="1" x14ac:dyDescent="0.2">
      <c r="H9" s="75"/>
      <c r="I9" s="5" t="s">
        <v>342</v>
      </c>
      <c r="J9" s="182" t="str">
        <f>J6</f>
        <v>Pommes de terre</v>
      </c>
      <c r="K9" s="172" t="str">
        <f t="shared" ref="K9:U9" si="0">K6&amp;" "&amp;J8</f>
        <v>Maïs Pommes de terre</v>
      </c>
      <c r="L9" s="172" t="str">
        <f t="shared" si="0"/>
        <v>Pommes de terre Pommes de terre-Maïs</v>
      </c>
      <c r="M9" s="172" t="str">
        <f t="shared" si="0"/>
        <v>Maïs Pommes de terre-Maïs-Pommes de terre</v>
      </c>
      <c r="N9" s="172" t="str">
        <f t="shared" si="0"/>
        <v>Pommes de terre Pommes de terre-Maïs-Pommes de terre-Maïs</v>
      </c>
      <c r="O9" s="172" t="str">
        <f t="shared" si="0"/>
        <v>Maïs Pommes de terre-Maïs-Pommes de terre-Maïs-Pommes de terre</v>
      </c>
      <c r="P9" s="172" t="str">
        <f t="shared" si="0"/>
        <v>Pommes de terre Pommes de terre-Maïs-Pommes de terre-Maïs-Pommes de terre-Maïs</v>
      </c>
      <c r="Q9" s="172" t="str">
        <f t="shared" si="0"/>
        <v>Maïs Pommes de terre-Maïs-Pommes de terre-Maïs-Pommes de terre-Maïs-Pommes de terre</v>
      </c>
      <c r="R9" s="172" t="str">
        <f t="shared" si="0"/>
        <v>Pommes de terre Pommes de terre-Maïs-Pommes de terre-Maïs-Pommes de terre-Maïs-Pommes de terre-Maïs</v>
      </c>
      <c r="S9" s="172" t="str">
        <f t="shared" si="0"/>
        <v>Maïs Pommes de terre-Maïs-Pommes de terre-Maïs-Pommes de terre-Maïs-Pommes de terre-Maïs-Pommes de terre</v>
      </c>
      <c r="T9" s="172" t="str">
        <f t="shared" si="0"/>
        <v>Pommes de terre Pommes de terre-Maïs-Pommes de terre-Maïs-Pommes de terre-Maïs-Pommes de terre-Maïs-Pommes de terre-Maïs</v>
      </c>
      <c r="U9" s="172" t="str">
        <f t="shared" si="0"/>
        <v>Maïs Pommes de terre-Maïs-Pommes de terre-Maïs-Pommes de terre-Maïs-Pommes de terre-Maïs-Pommes de terre-Maïs-Pommes de terre</v>
      </c>
      <c r="V9" s="172" t="str">
        <f t="shared" ref="V9:AS9" si="1">V6&amp;" "&amp;V8</f>
        <v>Pommes de terre Pommes de terre</v>
      </c>
      <c r="W9" s="172" t="str">
        <f t="shared" si="1"/>
        <v>Orge Pommes de terre-Orge</v>
      </c>
      <c r="X9" s="172" t="str">
        <f t="shared" si="1"/>
        <v>Culture fourragère (An 1) Pommes de terre-Orge-Culture fourragère (An 1)</v>
      </c>
      <c r="Y9" s="172" t="str">
        <f t="shared" si="1"/>
        <v>Pommes de terre Pommes de terre-Orge-Culture fourragère (An 1)-Pommes de terre</v>
      </c>
      <c r="Z9" s="172" t="str">
        <f t="shared" si="1"/>
        <v>Orge Pommes de terre-Orge-Culture fourragère (An 1)-Pommes de terre-Orge</v>
      </c>
      <c r="AA9" s="172" t="str">
        <f t="shared" si="1"/>
        <v>Culture fourragère (An 1) Pommes de terre-Orge-Culture fourragère (An 1)-Pommes de terre-Orge-Culture fourragère (An 1)</v>
      </c>
      <c r="AB9" s="172" t="str">
        <f t="shared" si="1"/>
        <v>Pommes de terre Pommes de terre-Orge-Culture fourragère (An 1)-Pommes de terre-Orge-Culture fourragère (An 1)-Pommes de terre</v>
      </c>
      <c r="AC9" s="172" t="str">
        <f t="shared" si="1"/>
        <v>Orge Pommes de terre-Orge-Culture fourragère (An 1)-Pommes de terre-Orge-Culture fourragère (An 1)-Pommes de terre-Orge</v>
      </c>
      <c r="AD9" s="172" t="str">
        <f t="shared" si="1"/>
        <v>Culture fourragère (An 1) Pommes de terre-Orge-Culture fourragère (An 1)-Pommes de terre-Orge-Culture fourragère (An 1)-Pommes de terre-Orge-Culture fourragère (An 1)</v>
      </c>
      <c r="AE9" s="172" t="str">
        <f t="shared" si="1"/>
        <v>Pommes de terre Pommes de terre-Orge-Culture fourragère (An 1)-Pommes de terre-Orge-Culture fourragère (An 1)-Pommes de terre-Orge-Culture fourragère (An 1)-Pommes de terre</v>
      </c>
      <c r="AF9" s="172" t="str">
        <f t="shared" si="1"/>
        <v>Orge Pommes de terre-Orge-Culture fourragère (An 1)-Pommes de terre-Orge-Culture fourragère (An 1)-Pommes de terre-Orge-Culture fourragère (An 1)-Pommes de terre-Orge</v>
      </c>
      <c r="AG9" s="172" t="str">
        <f t="shared" si="1"/>
        <v>Culture fourragère (An 1) Pommes de terre-Orge-Culture fourragère (An 1)-Pommes de terre-Orge-Culture fourragère (An 1)-Pommes de terre-Orge-Culture fourragère (An 1)-Pommes de terre-Orge-Culture fourragère (An 1)</v>
      </c>
      <c r="AH9" s="172" t="str">
        <f t="shared" si="1"/>
        <v>Pommes de terre Pommes de terre</v>
      </c>
      <c r="AI9" s="172" t="str">
        <f t="shared" si="1"/>
        <v>Maïs Pommes de terre-Maïs</v>
      </c>
      <c r="AJ9" s="172" t="str">
        <f t="shared" si="1"/>
        <v>Blé (hiver) Pommes de terre-Maïs-Blé (hiver)</v>
      </c>
      <c r="AK9" s="172" t="str">
        <f t="shared" si="1"/>
        <v>Culture fourragère (An 1) Pommes de terre-Maïs-Blé (hiver)-Culture fourragère (An 1)</v>
      </c>
      <c r="AL9" s="172" t="str">
        <f t="shared" si="1"/>
        <v>Pommes de terre Pommes de terre-Maïs-Blé (hiver)-Culture fourragère (An 1)-Pommes de terre</v>
      </c>
      <c r="AM9" s="172" t="str">
        <f t="shared" si="1"/>
        <v>Maïs Pommes de terre-Maïs-Blé (hiver)-Culture fourragère (An 1)-Pommes de terre-Maïs</v>
      </c>
      <c r="AN9" s="172" t="str">
        <f t="shared" si="1"/>
        <v>Blé (hiver) Pommes de terre-Maïs-Blé (hiver)-Culture fourragère (An 1)-Pommes de terre-Maïs-Blé (hiver)</v>
      </c>
      <c r="AO9" s="172" t="str">
        <f t="shared" si="1"/>
        <v>Culture fourragère (An 1) Pommes de terre-Maïs-Blé (hiver)-Culture fourragère (An 1)-Pommes de terre-Maïs-Blé (hiver)-Culture fourragère (An 1)</v>
      </c>
      <c r="AP9" s="172" t="str">
        <f t="shared" si="1"/>
        <v>Pommes de terre Pommes de terre-Maïs-Blé (hiver)-Culture fourragère (An 1)-Pommes de terre-Maïs-Blé (hiver)-Culture fourragère (An 1)-Pommes de terre</v>
      </c>
      <c r="AQ9" s="172" t="str">
        <f t="shared" si="1"/>
        <v>Maïs Pommes de terre-Maïs-Blé (hiver)-Culture fourragère (An 1)-Pommes de terre-Maïs-Blé (hiver)-Culture fourragère (An 1)-Pommes de terre-Maïs</v>
      </c>
      <c r="AR9" s="172" t="str">
        <f t="shared" si="1"/>
        <v>Blé (hiver) Pommes de terre-Maïs-Blé (hiver)-Culture fourragère (An 1)-Pommes de terre-Maïs-Blé (hiver)-Culture fourragère (An 1)-Pommes de terre-Maïs-Blé (hiver)</v>
      </c>
      <c r="AS9" s="172" t="str">
        <f t="shared" si="1"/>
        <v>Culture fourragère (An 1) Pommes de terre-Maïs-Blé (hiver)-Culture fourragère (An 1)-Pommes de terre-Maïs-Blé (hiver)-Culture fourragère (An 1)-Pommes de terre-Maïs-Blé (hiver)-Culture fourragère (An 1)</v>
      </c>
      <c r="AT9" s="89"/>
    </row>
    <row r="10" spans="1:46" s="237" customFormat="1" ht="15.75" x14ac:dyDescent="0.2">
      <c r="A10" s="236"/>
      <c r="B10" s="230" t="s">
        <v>343</v>
      </c>
      <c r="C10" s="32"/>
      <c r="D10" s="202"/>
      <c r="E10" s="202"/>
      <c r="F10" s="202"/>
      <c r="G10" s="202"/>
      <c r="H10" s="236"/>
      <c r="I10" s="41" t="s">
        <v>344</v>
      </c>
      <c r="J10" s="185" t="e">
        <f>INDEX($E$26:$E$995,MATCH(J9,$C$26:$C$995,0))</f>
        <v>#N/A</v>
      </c>
      <c r="K10" s="180" t="e">
        <f>INDEX($E$26:$E$995,MATCH(K9,$C$26:$C$995,0))</f>
        <v>#N/A</v>
      </c>
      <c r="L10" s="180" t="e">
        <f>INDEX($E$26:$E$995,MATCH(L9,$C$26:$C$995,0))</f>
        <v>#N/A</v>
      </c>
      <c r="M10" s="180" t="e">
        <f t="shared" ref="M10:AS10" si="2">INDEX($E$26:$E$995,MATCH(M9,$C$26:$C$995,0))</f>
        <v>#N/A</v>
      </c>
      <c r="N10" s="180" t="e">
        <f t="shared" si="2"/>
        <v>#N/A</v>
      </c>
      <c r="O10" s="180" t="e">
        <f t="shared" si="2"/>
        <v>#N/A</v>
      </c>
      <c r="P10" s="180" t="e">
        <f t="shared" si="2"/>
        <v>#N/A</v>
      </c>
      <c r="Q10" s="180" t="e">
        <f t="shared" si="2"/>
        <v>#N/A</v>
      </c>
      <c r="R10" s="180" t="e">
        <f t="shared" si="2"/>
        <v>#N/A</v>
      </c>
      <c r="S10" s="180" t="e">
        <f t="shared" si="2"/>
        <v>#N/A</v>
      </c>
      <c r="T10" s="180" t="e">
        <f t="shared" si="2"/>
        <v>#N/A</v>
      </c>
      <c r="U10" s="180" t="e">
        <f t="shared" si="2"/>
        <v>#N/A</v>
      </c>
      <c r="V10" s="180" t="e">
        <f t="shared" si="2"/>
        <v>#N/A</v>
      </c>
      <c r="W10" s="180" t="e">
        <f t="shared" si="2"/>
        <v>#N/A</v>
      </c>
      <c r="X10" s="180" t="e">
        <f t="shared" si="2"/>
        <v>#N/A</v>
      </c>
      <c r="Y10" s="180" t="e">
        <f t="shared" si="2"/>
        <v>#N/A</v>
      </c>
      <c r="Z10" s="180" t="e">
        <f t="shared" si="2"/>
        <v>#N/A</v>
      </c>
      <c r="AA10" s="180" t="e">
        <f t="shared" si="2"/>
        <v>#N/A</v>
      </c>
      <c r="AB10" s="180" t="e">
        <f t="shared" si="2"/>
        <v>#N/A</v>
      </c>
      <c r="AC10" s="180" t="e">
        <f t="shared" si="2"/>
        <v>#N/A</v>
      </c>
      <c r="AD10" s="180" t="e">
        <f t="shared" si="2"/>
        <v>#N/A</v>
      </c>
      <c r="AE10" s="180" t="e">
        <f t="shared" si="2"/>
        <v>#N/A</v>
      </c>
      <c r="AF10" s="180" t="e">
        <f t="shared" si="2"/>
        <v>#N/A</v>
      </c>
      <c r="AG10" s="180" t="e">
        <f t="shared" si="2"/>
        <v>#N/A</v>
      </c>
      <c r="AH10" s="180" t="e">
        <f t="shared" si="2"/>
        <v>#N/A</v>
      </c>
      <c r="AI10" s="180" t="e">
        <f t="shared" si="2"/>
        <v>#N/A</v>
      </c>
      <c r="AJ10" s="180" t="e">
        <f t="shared" si="2"/>
        <v>#N/A</v>
      </c>
      <c r="AK10" s="180" t="e">
        <f t="shared" si="2"/>
        <v>#N/A</v>
      </c>
      <c r="AL10" s="180" t="e">
        <f t="shared" si="2"/>
        <v>#N/A</v>
      </c>
      <c r="AM10" s="180" t="e">
        <f t="shared" si="2"/>
        <v>#N/A</v>
      </c>
      <c r="AN10" s="180" t="e">
        <f t="shared" si="2"/>
        <v>#N/A</v>
      </c>
      <c r="AO10" s="180" t="e">
        <f t="shared" si="2"/>
        <v>#N/A</v>
      </c>
      <c r="AP10" s="180" t="e">
        <f t="shared" si="2"/>
        <v>#N/A</v>
      </c>
      <c r="AQ10" s="180" t="e">
        <f t="shared" si="2"/>
        <v>#N/A</v>
      </c>
      <c r="AR10" s="180" t="e">
        <f t="shared" si="2"/>
        <v>#N/A</v>
      </c>
      <c r="AS10" s="180" t="e">
        <f t="shared" si="2"/>
        <v>#N/A</v>
      </c>
      <c r="AT10" s="236"/>
    </row>
    <row r="11" spans="1:46" s="232" customFormat="1" ht="15.75" x14ac:dyDescent="0.2">
      <c r="A11" s="231"/>
      <c r="B11" s="238" t="s">
        <v>345</v>
      </c>
      <c r="C11" s="32"/>
      <c r="D11" s="202"/>
      <c r="E11" s="202"/>
      <c r="F11" s="202"/>
      <c r="G11" s="202"/>
      <c r="H11" s="231"/>
      <c r="I11" s="36" t="str">
        <f>Comparaison!B53</f>
        <v>Variations dans le rendement annuel des cultures (%). Cette ligne peut être utilisée pour saisir des hypothèses concernant les variations de rendement dans la campagne agricole en cours selon la ou les cultures plantées au cours des campagnes agricoles précédentes.</v>
      </c>
      <c r="J11" s="168">
        <f>_xlfn.IFNA(IF(ISBLANK(J10),J7,J10),J7)</f>
        <v>0</v>
      </c>
      <c r="K11" s="151">
        <f t="shared" ref="K11:AS11" si="3">_xlfn.IFNA(IF(ISBLANK(K10),K7,K10),K7)</f>
        <v>0</v>
      </c>
      <c r="L11" s="151">
        <f t="shared" si="3"/>
        <v>0</v>
      </c>
      <c r="M11" s="151">
        <f t="shared" si="3"/>
        <v>0</v>
      </c>
      <c r="N11" s="151">
        <f t="shared" si="3"/>
        <v>0</v>
      </c>
      <c r="O11" s="151">
        <f t="shared" si="3"/>
        <v>0</v>
      </c>
      <c r="P11" s="151">
        <f t="shared" si="3"/>
        <v>0</v>
      </c>
      <c r="Q11" s="151">
        <f t="shared" si="3"/>
        <v>0</v>
      </c>
      <c r="R11" s="151">
        <f t="shared" si="3"/>
        <v>0</v>
      </c>
      <c r="S11" s="151">
        <f t="shared" si="3"/>
        <v>0</v>
      </c>
      <c r="T11" s="151">
        <f t="shared" si="3"/>
        <v>0</v>
      </c>
      <c r="U11" s="151">
        <f t="shared" si="3"/>
        <v>0</v>
      </c>
      <c r="V11" s="151">
        <f t="shared" si="3"/>
        <v>0</v>
      </c>
      <c r="W11" s="151">
        <f t="shared" si="3"/>
        <v>0</v>
      </c>
      <c r="X11" s="151">
        <f t="shared" si="3"/>
        <v>0</v>
      </c>
      <c r="Y11" s="151">
        <f>_xlfn.IFNA(IF(ISBLANK(Y10),Y7,Y10),Y7)</f>
        <v>0</v>
      </c>
      <c r="Z11" s="151">
        <f t="shared" si="3"/>
        <v>0</v>
      </c>
      <c r="AA11" s="151">
        <f t="shared" si="3"/>
        <v>0</v>
      </c>
      <c r="AB11" s="151">
        <f t="shared" si="3"/>
        <v>0</v>
      </c>
      <c r="AC11" s="151">
        <f t="shared" si="3"/>
        <v>0</v>
      </c>
      <c r="AD11" s="151">
        <f t="shared" si="3"/>
        <v>0</v>
      </c>
      <c r="AE11" s="151">
        <f t="shared" si="3"/>
        <v>0</v>
      </c>
      <c r="AF11" s="151">
        <f t="shared" si="3"/>
        <v>0</v>
      </c>
      <c r="AG11" s="151">
        <f t="shared" si="3"/>
        <v>0</v>
      </c>
      <c r="AH11" s="151">
        <f t="shared" si="3"/>
        <v>0</v>
      </c>
      <c r="AI11" s="151">
        <f t="shared" si="3"/>
        <v>0</v>
      </c>
      <c r="AJ11" s="151">
        <f t="shared" si="3"/>
        <v>0</v>
      </c>
      <c r="AK11" s="151">
        <f t="shared" si="3"/>
        <v>0</v>
      </c>
      <c r="AL11" s="151">
        <f t="shared" si="3"/>
        <v>0</v>
      </c>
      <c r="AM11" s="151">
        <f t="shared" si="3"/>
        <v>0</v>
      </c>
      <c r="AN11" s="151">
        <f t="shared" si="3"/>
        <v>0</v>
      </c>
      <c r="AO11" s="151">
        <f t="shared" si="3"/>
        <v>0</v>
      </c>
      <c r="AP11" s="151">
        <f t="shared" si="3"/>
        <v>0</v>
      </c>
      <c r="AQ11" s="151">
        <f t="shared" si="3"/>
        <v>0</v>
      </c>
      <c r="AR11" s="151">
        <f t="shared" si="3"/>
        <v>0</v>
      </c>
      <c r="AS11" s="151">
        <f t="shared" si="3"/>
        <v>0</v>
      </c>
      <c r="AT11" s="231"/>
    </row>
    <row r="12" spans="1:46" s="31" customFormat="1" x14ac:dyDescent="0.2">
      <c r="A12" s="231"/>
      <c r="B12" s="231"/>
      <c r="C12" s="32"/>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row>
    <row r="13" spans="1:46" s="225" customFormat="1" ht="15.75" x14ac:dyDescent="0.2">
      <c r="A13" s="223"/>
      <c r="B13" s="206" t="s">
        <v>346</v>
      </c>
      <c r="C13" s="224"/>
      <c r="D13" s="206"/>
      <c r="E13" s="206"/>
      <c r="F13" s="226"/>
      <c r="G13" s="226"/>
      <c r="H13" s="223"/>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3"/>
    </row>
    <row r="14" spans="1:46" ht="31.5" x14ac:dyDescent="0.2">
      <c r="A14" s="231"/>
      <c r="B14" s="40" t="s">
        <v>347</v>
      </c>
      <c r="C14" s="191"/>
      <c r="D14" s="72" t="s">
        <v>348</v>
      </c>
      <c r="E14" s="190" t="s">
        <v>349</v>
      </c>
      <c r="F14" s="202"/>
      <c r="G14" s="202"/>
      <c r="H14" s="231"/>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31"/>
    </row>
    <row r="15" spans="1:46" x14ac:dyDescent="0.2">
      <c r="A15" s="231"/>
      <c r="B15" s="383" t="s">
        <v>350</v>
      </c>
      <c r="C15" s="172"/>
      <c r="D15" s="384">
        <f>IF(ISBLANK(E15),0,E15)</f>
        <v>0</v>
      </c>
      <c r="E15" s="167"/>
      <c r="F15" s="202"/>
      <c r="G15" s="202"/>
      <c r="H15" s="231"/>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31"/>
    </row>
    <row r="16" spans="1:46" x14ac:dyDescent="0.2">
      <c r="A16" s="231"/>
      <c r="B16" s="383" t="s">
        <v>351</v>
      </c>
      <c r="C16" s="172"/>
      <c r="D16" s="384">
        <f t="shared" ref="D16:D21" si="4">IF(ISBLANK(E16),0,E16)</f>
        <v>0</v>
      </c>
      <c r="E16" s="167"/>
      <c r="F16" s="202"/>
      <c r="G16" s="202"/>
      <c r="H16" s="231"/>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31"/>
    </row>
    <row r="17" spans="1:46" x14ac:dyDescent="0.2">
      <c r="A17" s="231"/>
      <c r="B17" s="383" t="s">
        <v>352</v>
      </c>
      <c r="C17" s="172"/>
      <c r="D17" s="384">
        <f>IF(ISBLANK(E17),0,E17)</f>
        <v>0</v>
      </c>
      <c r="E17" s="167"/>
      <c r="F17" s="202"/>
      <c r="G17" s="202"/>
      <c r="H17" s="231"/>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31"/>
    </row>
    <row r="18" spans="1:46" x14ac:dyDescent="0.2">
      <c r="A18" s="231"/>
      <c r="B18" s="383" t="s">
        <v>353</v>
      </c>
      <c r="C18" s="172"/>
      <c r="D18" s="384">
        <f t="shared" si="4"/>
        <v>0</v>
      </c>
      <c r="E18" s="167"/>
      <c r="F18" s="202"/>
      <c r="G18" s="202"/>
      <c r="H18" s="231"/>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31"/>
    </row>
    <row r="19" spans="1:46" x14ac:dyDescent="0.2">
      <c r="A19" s="231"/>
      <c r="B19" s="383" t="s">
        <v>354</v>
      </c>
      <c r="C19" s="172"/>
      <c r="D19" s="384">
        <f t="shared" si="4"/>
        <v>0</v>
      </c>
      <c r="E19" s="167"/>
      <c r="F19" s="202"/>
      <c r="G19" s="202"/>
      <c r="H19" s="231"/>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31"/>
    </row>
    <row r="20" spans="1:46" x14ac:dyDescent="0.2">
      <c r="A20" s="231"/>
      <c r="B20" s="383" t="s">
        <v>355</v>
      </c>
      <c r="C20" s="172"/>
      <c r="D20" s="384">
        <f t="shared" si="4"/>
        <v>0</v>
      </c>
      <c r="E20" s="167"/>
      <c r="F20" s="202"/>
      <c r="G20" s="202"/>
      <c r="H20" s="231"/>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31"/>
    </row>
    <row r="21" spans="1:46" x14ac:dyDescent="0.2">
      <c r="A21" s="231"/>
      <c r="B21" s="383" t="s">
        <v>356</v>
      </c>
      <c r="C21" s="172"/>
      <c r="D21" s="384">
        <f t="shared" si="4"/>
        <v>0</v>
      </c>
      <c r="E21" s="167"/>
      <c r="F21" s="202"/>
      <c r="G21" s="202"/>
      <c r="H21" s="231"/>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31"/>
    </row>
    <row r="22" spans="1:46" x14ac:dyDescent="0.2">
      <c r="A22" s="231"/>
      <c r="B22" s="231"/>
      <c r="C22" s="149"/>
      <c r="D22" s="231"/>
      <c r="E22" s="231"/>
      <c r="F22" s="231"/>
      <c r="G22" s="231"/>
      <c r="H22" s="231"/>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31"/>
    </row>
    <row r="23" spans="1:46" s="225" customFormat="1" ht="15.75" x14ac:dyDescent="0.2">
      <c r="A23" s="223"/>
      <c r="B23" s="206" t="s">
        <v>357</v>
      </c>
      <c r="C23" s="224"/>
      <c r="D23" s="206"/>
      <c r="E23" s="206"/>
      <c r="F23" s="206"/>
      <c r="G23" s="206"/>
      <c r="H23" s="223"/>
      <c r="I23" s="226"/>
      <c r="J23" s="226"/>
      <c r="K23" s="226"/>
      <c r="L23" s="226"/>
      <c r="M23" s="226"/>
      <c r="N23" s="226"/>
      <c r="O23" s="226"/>
      <c r="P23" s="226"/>
      <c r="Q23" s="226"/>
      <c r="R23" s="226"/>
      <c r="S23" s="226"/>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3"/>
    </row>
    <row r="24" spans="1:46" ht="15.75" x14ac:dyDescent="0.2">
      <c r="A24" s="231"/>
      <c r="B24" s="40" t="s">
        <v>358</v>
      </c>
      <c r="C24" s="32" t="s">
        <v>342</v>
      </c>
      <c r="D24" s="40" t="s">
        <v>359</v>
      </c>
      <c r="E24" s="40" t="s">
        <v>360</v>
      </c>
      <c r="F24" s="40" t="s">
        <v>361</v>
      </c>
      <c r="G24" s="40"/>
      <c r="H24" s="231"/>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31"/>
    </row>
    <row r="25" spans="1:46" s="225" customFormat="1" ht="15.75" x14ac:dyDescent="0.2">
      <c r="A25" s="223"/>
      <c r="B25" s="206" t="s">
        <v>362</v>
      </c>
      <c r="C25" s="227"/>
      <c r="D25" s="206"/>
      <c r="E25" s="206"/>
      <c r="F25" s="206"/>
      <c r="G25" s="206"/>
      <c r="H25" s="223"/>
      <c r="I25" s="226"/>
      <c r="J25" s="226"/>
      <c r="K25" s="226"/>
      <c r="L25" s="226"/>
      <c r="M25" s="226"/>
      <c r="N25" s="226"/>
      <c r="O25" s="226"/>
      <c r="P25" s="226"/>
      <c r="Q25" s="226"/>
      <c r="R25" s="226"/>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3"/>
    </row>
    <row r="26" spans="1:46" ht="30" x14ac:dyDescent="0.2">
      <c r="A26" s="231"/>
      <c r="B26" s="383" t="s">
        <v>363</v>
      </c>
      <c r="C26" s="172" t="str">
        <f>B26&amp;" "&amp;D26</f>
        <v>Potatoes Potatoes-Soybeans-Canola-Potatoes</v>
      </c>
      <c r="D26" s="234" t="s">
        <v>364</v>
      </c>
      <c r="E26" s="384">
        <v>0.1206896551724138</v>
      </c>
      <c r="F26" s="385" t="s">
        <v>365</v>
      </c>
      <c r="G26" s="386"/>
      <c r="H26" s="231"/>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31"/>
    </row>
    <row r="27" spans="1:46" ht="30" x14ac:dyDescent="0.2">
      <c r="A27" s="231"/>
      <c r="B27" s="383" t="s">
        <v>363</v>
      </c>
      <c r="C27" s="172" t="str">
        <f t="shared" ref="C27" si="5">B27&amp;" "&amp;D27</f>
        <v>Potatoes Potatoes-Soybeans-Barley-Potatoes</v>
      </c>
      <c r="D27" s="234" t="s">
        <v>366</v>
      </c>
      <c r="E27" s="384">
        <v>8.6206896551724144E-2</v>
      </c>
      <c r="F27" s="385" t="s">
        <v>367</v>
      </c>
      <c r="G27" s="386"/>
      <c r="H27" s="231"/>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31"/>
    </row>
    <row r="28" spans="1:46" s="225" customFormat="1" ht="15.75" x14ac:dyDescent="0.2">
      <c r="A28" s="223"/>
      <c r="B28" s="206" t="s">
        <v>368</v>
      </c>
      <c r="C28" s="228"/>
      <c r="D28" s="206"/>
      <c r="E28" s="211"/>
      <c r="F28" s="206"/>
      <c r="G28" s="206"/>
      <c r="H28" s="223"/>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3"/>
    </row>
    <row r="29" spans="1:46" ht="45" x14ac:dyDescent="0.2">
      <c r="A29" s="231"/>
      <c r="B29" s="383" t="str">
        <f>$B$26</f>
        <v>Potatoes</v>
      </c>
      <c r="C29" s="172" t="str">
        <f>B29&amp;" "&amp;D29</f>
        <v>Potatoes Potatoes-Soybeans-Canola-Potatoes-Soybeans-Canola-Potatoes</v>
      </c>
      <c r="D29" s="387" t="s">
        <v>369</v>
      </c>
      <c r="E29" s="384">
        <f>$E$26+$D$19</f>
        <v>0.1206896551724138</v>
      </c>
      <c r="F29" s="388" t="str">
        <f>"Row "&amp;ROW($F$26)</f>
        <v>Row 26</v>
      </c>
      <c r="G29" s="389" t="str">
        <f>$B$19</f>
        <v>3 years, 3rd cycle</v>
      </c>
      <c r="H29" s="231"/>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31"/>
    </row>
    <row r="30" spans="1:46" ht="60" x14ac:dyDescent="0.2">
      <c r="A30" s="231"/>
      <c r="B30" s="383" t="str">
        <f>$B$26</f>
        <v>Potatoes</v>
      </c>
      <c r="C30" s="172" t="str">
        <f t="shared" ref="C30:C38" si="6">B30&amp;" "&amp;D30</f>
        <v>Potatoes Potatoes-Soybeans-Canola-Potatoes-Soybeans-Canola-Potatoes-Soybeans-Canola-Potatoes</v>
      </c>
      <c r="D30" s="387" t="s">
        <v>370</v>
      </c>
      <c r="E30" s="384">
        <f>$E$26+$D$20</f>
        <v>0.1206896551724138</v>
      </c>
      <c r="F30" s="388" t="str">
        <f t="shared" ref="F30" si="7">"Row "&amp;ROW($F$26)</f>
        <v>Row 26</v>
      </c>
      <c r="G30" s="389" t="str">
        <f>$B$20</f>
        <v>3 years, 4th cycle</v>
      </c>
      <c r="H30" s="231"/>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31"/>
    </row>
    <row r="31" spans="1:46" ht="45" x14ac:dyDescent="0.2">
      <c r="A31" s="231"/>
      <c r="B31" s="383" t="str">
        <f>$B$27</f>
        <v>Potatoes</v>
      </c>
      <c r="C31" s="172" t="str">
        <f t="shared" si="6"/>
        <v>Potatoes Potatoes-Soybeans-Barley-Potatoes-Soybeans-Barley-Potatoes</v>
      </c>
      <c r="D31" s="234" t="s">
        <v>371</v>
      </c>
      <c r="E31" s="384">
        <f>$E$27+$D$19</f>
        <v>8.6206896551724144E-2</v>
      </c>
      <c r="F31" s="388" t="str">
        <f>"Row "&amp;ROW($F$27)</f>
        <v>Row 27</v>
      </c>
      <c r="G31" s="389" t="str">
        <f>$B$19</f>
        <v>3 years, 3rd cycle</v>
      </c>
      <c r="H31" s="231"/>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31"/>
    </row>
    <row r="32" spans="1:46" ht="60" x14ac:dyDescent="0.2">
      <c r="A32" s="231"/>
      <c r="B32" s="383" t="str">
        <f>$B$27</f>
        <v>Potatoes</v>
      </c>
      <c r="C32" s="172" t="str">
        <f t="shared" si="6"/>
        <v>Potatoes Potatoes-Soybeans-Barley-Potatoes-Soybeans-Barley-Potatoes-Soybeans-Barley-Potatoes</v>
      </c>
      <c r="D32" s="234" t="s">
        <v>372</v>
      </c>
      <c r="E32" s="384">
        <f>$E$27+$D$20</f>
        <v>8.6206896551724144E-2</v>
      </c>
      <c r="F32" s="388" t="str">
        <f>"Row "&amp;ROW($F$27)</f>
        <v>Row 27</v>
      </c>
      <c r="G32" s="389" t="str">
        <f>$B$20</f>
        <v>3 years, 4th cycle</v>
      </c>
      <c r="H32" s="231"/>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31"/>
    </row>
    <row r="33" spans="3:5" s="31" customFormat="1" x14ac:dyDescent="0.2">
      <c r="C33" s="149" t="str">
        <f t="shared" si="6"/>
        <v xml:space="preserve"> </v>
      </c>
      <c r="D33" s="231"/>
      <c r="E33" s="231"/>
    </row>
    <row r="34" spans="3:5" hidden="1" x14ac:dyDescent="0.2">
      <c r="C34" s="32" t="str">
        <f t="shared" si="6"/>
        <v xml:space="preserve"> </v>
      </c>
      <c r="D34" s="235"/>
      <c r="E34" s="390"/>
    </row>
    <row r="35" spans="3:5" hidden="1" x14ac:dyDescent="0.2">
      <c r="C35" s="32" t="str">
        <f t="shared" si="6"/>
        <v xml:space="preserve"> </v>
      </c>
      <c r="D35" s="235"/>
      <c r="E35" s="390"/>
    </row>
    <row r="36" spans="3:5" hidden="1" x14ac:dyDescent="0.2">
      <c r="C36" s="32" t="str">
        <f t="shared" si="6"/>
        <v xml:space="preserve"> </v>
      </c>
      <c r="D36" s="235"/>
      <c r="E36" s="390"/>
    </row>
    <row r="37" spans="3:5" hidden="1" x14ac:dyDescent="0.2">
      <c r="C37" s="32" t="str">
        <f t="shared" si="6"/>
        <v xml:space="preserve"> </v>
      </c>
      <c r="D37" s="235"/>
      <c r="E37" s="232"/>
    </row>
    <row r="38" spans="3:5" hidden="1" x14ac:dyDescent="0.2">
      <c r="C38" s="32" t="str">
        <f t="shared" si="6"/>
        <v xml:space="preserve"> </v>
      </c>
      <c r="D38" s="235"/>
      <c r="E38" s="232"/>
    </row>
    <row r="39" spans="3:5" hidden="1" x14ac:dyDescent="0.2">
      <c r="D39" s="235"/>
      <c r="E39" s="232"/>
    </row>
    <row r="40" spans="3:5" hidden="1" x14ac:dyDescent="0.2">
      <c r="D40" s="235"/>
      <c r="E40" s="232"/>
    </row>
  </sheetData>
  <sheetProtection selectLockedCells="1"/>
  <conditionalFormatting sqref="E15:E21">
    <cfRule type="containsBlanks" dxfId="0" priority="2">
      <formula>LEN(TRIM(E15))=0</formula>
    </cfRule>
  </conditionalFormatting>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iconSet" priority="1" id="{12942B4F-2CA3-45C5-9F1F-FAFE5AA2EF7D}">
            <x14:iconSet iconSet="3Symbols" custom="1">
              <x14:cfvo type="percent">
                <xm:f>0</xm:f>
              </x14:cfvo>
              <x14:cfvo type="num">
                <xm:f>0</xm:f>
              </x14:cfvo>
              <x14:cfvo type="num">
                <xm:f>0</xm:f>
              </x14:cfvo>
              <x14:cfIcon iconSet="3Symbols" iconId="2"/>
              <x14:cfIcon iconSet="3Symbols" iconId="2"/>
              <x14:cfIcon iconSet="3Symbols" iconId="2"/>
            </x14:iconSet>
          </x14:cfRule>
          <xm:sqref>E15:E21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2423-D73B-4CBE-BC3A-6836FD366F6D}">
  <sheetPr codeName="Sheet10"/>
  <dimension ref="A1:AN128"/>
  <sheetViews>
    <sheetView zoomScale="80" zoomScaleNormal="80" workbookViewId="0">
      <selection activeCell="B6" sqref="B6"/>
    </sheetView>
  </sheetViews>
  <sheetFormatPr defaultColWidth="0" defaultRowHeight="15" zeroHeight="1" x14ac:dyDescent="0.2"/>
  <cols>
    <col min="1" max="1" width="2.625" style="46" customWidth="1"/>
    <col min="2" max="2" width="15" style="8" bestFit="1" customWidth="1"/>
    <col min="3" max="3" width="4" style="8" bestFit="1" customWidth="1"/>
    <col min="4" max="4" width="3.75" style="8" bestFit="1" customWidth="1"/>
    <col min="5" max="5" width="4.75" style="8" bestFit="1" customWidth="1"/>
    <col min="6" max="6" width="3.75" style="8" bestFit="1" customWidth="1"/>
    <col min="7" max="7" width="4.25" style="8" bestFit="1" customWidth="1"/>
    <col min="8" max="8" width="3.75" style="8" bestFit="1" customWidth="1"/>
    <col min="9" max="9" width="4.125" style="8" bestFit="1" customWidth="1"/>
    <col min="10" max="10" width="3.75" style="8" bestFit="1" customWidth="1"/>
    <col min="11" max="11" width="4.125" style="8" bestFit="1" customWidth="1"/>
    <col min="12" max="12" width="3.75" style="8" bestFit="1" customWidth="1"/>
    <col min="13" max="13" width="4.125" style="8" bestFit="1" customWidth="1"/>
    <col min="14" max="14" width="3.75" style="8" bestFit="1" customWidth="1"/>
    <col min="15" max="15" width="4" style="8" bestFit="1" customWidth="1"/>
    <col min="16" max="16" width="3.75" style="8" bestFit="1" customWidth="1"/>
    <col min="17" max="17" width="3.625" style="8" bestFit="1" customWidth="1"/>
    <col min="18" max="18" width="4.75" style="8" bestFit="1" customWidth="1"/>
    <col min="19" max="19" width="3.75" style="8" bestFit="1" customWidth="1"/>
    <col min="20" max="20" width="3.625" style="8" bestFit="1" customWidth="1"/>
    <col min="21" max="21" width="4.25" style="8" bestFit="1" customWidth="1"/>
    <col min="22" max="22" width="3.75" style="8" bestFit="1" customWidth="1"/>
    <col min="23" max="23" width="3.625" style="8" bestFit="1" customWidth="1"/>
    <col min="24" max="24" width="4.125" style="8" bestFit="1" customWidth="1"/>
    <col min="25" max="25" width="3.75" style="8" bestFit="1" customWidth="1"/>
    <col min="26" max="26" width="3.625" style="8" bestFit="1" customWidth="1"/>
    <col min="27" max="27" width="4" style="8" bestFit="1" customWidth="1"/>
    <col min="28" max="28" width="3.75" style="8" bestFit="1" customWidth="1"/>
    <col min="29" max="30" width="3.625" style="8" bestFit="1" customWidth="1"/>
    <col min="31" max="31" width="4.75" style="8" bestFit="1" customWidth="1"/>
    <col min="32" max="32" width="3.75" style="8" bestFit="1" customWidth="1"/>
    <col min="33" max="34" width="3.625" style="8" bestFit="1" customWidth="1"/>
    <col min="35" max="35" width="4.25" style="8" bestFit="1" customWidth="1"/>
    <col min="36" max="36" width="3.75" style="8" bestFit="1" customWidth="1"/>
    <col min="37" max="38" width="3.625" style="8" bestFit="1" customWidth="1"/>
    <col min="39" max="39" width="2.625" style="46" customWidth="1"/>
    <col min="40" max="40" width="0" hidden="1" customWidth="1"/>
    <col min="41" max="16384" width="9" hidden="1"/>
  </cols>
  <sheetData>
    <row r="1" spans="1:39" s="46" customFormat="1" x14ac:dyDescent="0.2"/>
    <row r="2" spans="1:39" s="17" customFormat="1" ht="15.75" x14ac:dyDescent="0.2">
      <c r="A2" s="46"/>
      <c r="B2" s="2" t="s">
        <v>373</v>
      </c>
      <c r="AM2" s="46"/>
    </row>
    <row r="3" spans="1:39" ht="15.75" x14ac:dyDescent="0.2">
      <c r="B3" s="17"/>
      <c r="C3" s="122" t="s">
        <v>374</v>
      </c>
      <c r="D3" s="123"/>
      <c r="E3" s="123"/>
      <c r="F3" s="123"/>
      <c r="G3" s="123"/>
      <c r="H3" s="123"/>
      <c r="I3" s="123"/>
      <c r="J3" s="123"/>
      <c r="K3" s="123"/>
      <c r="L3" s="123"/>
      <c r="M3" s="123"/>
      <c r="N3" s="124"/>
      <c r="O3" s="122" t="s">
        <v>375</v>
      </c>
      <c r="P3" s="123"/>
      <c r="Q3" s="123"/>
      <c r="R3" s="123"/>
      <c r="S3" s="123"/>
      <c r="T3" s="123"/>
      <c r="U3" s="123"/>
      <c r="V3" s="123"/>
      <c r="W3" s="123"/>
      <c r="X3" s="123"/>
      <c r="Y3" s="123"/>
      <c r="Z3" s="124"/>
      <c r="AA3" s="122" t="s">
        <v>376</v>
      </c>
      <c r="AB3" s="123"/>
      <c r="AC3" s="123"/>
      <c r="AD3" s="123"/>
      <c r="AE3" s="123"/>
      <c r="AF3" s="123"/>
      <c r="AG3" s="123"/>
      <c r="AH3" s="123"/>
      <c r="AI3" s="123"/>
      <c r="AJ3" s="123"/>
      <c r="AK3" s="123"/>
      <c r="AL3" s="124"/>
    </row>
    <row r="4" spans="1:39" ht="15.75" x14ac:dyDescent="0.2">
      <c r="B4" s="18" t="str">
        <f>Comparaison!B102</f>
        <v>Rotation cycle</v>
      </c>
      <c r="C4" s="125" t="str">
        <f>Comparaison!C102</f>
        <v>1st</v>
      </c>
      <c r="D4" s="19"/>
      <c r="E4" s="19" t="str">
        <f>Comparaison!E102</f>
        <v>2nd</v>
      </c>
      <c r="F4" s="19"/>
      <c r="G4" s="19" t="str">
        <f>Comparaison!G102</f>
        <v>3rd</v>
      </c>
      <c r="H4" s="19"/>
      <c r="I4" s="19" t="str">
        <f>Comparaison!I102</f>
        <v>4th</v>
      </c>
      <c r="J4" s="19"/>
      <c r="K4" s="19" t="str">
        <f>Comparaison!K102</f>
        <v>5th</v>
      </c>
      <c r="L4" s="19"/>
      <c r="M4" s="19" t="str">
        <f>Comparaison!M102</f>
        <v>6th</v>
      </c>
      <c r="N4" s="126"/>
      <c r="O4" s="125" t="str">
        <f>Comparaison!O102</f>
        <v>1st</v>
      </c>
      <c r="P4" s="19"/>
      <c r="Q4" s="19"/>
      <c r="R4" s="19" t="str">
        <f>Comparaison!R102</f>
        <v>2nd</v>
      </c>
      <c r="S4" s="19"/>
      <c r="T4" s="19"/>
      <c r="U4" s="19" t="str">
        <f>Comparaison!U102</f>
        <v>3rd</v>
      </c>
      <c r="V4" s="19"/>
      <c r="W4" s="19"/>
      <c r="X4" s="19" t="str">
        <f>Comparaison!X102</f>
        <v>4th</v>
      </c>
      <c r="Y4" s="19"/>
      <c r="Z4" s="126"/>
      <c r="AA4" s="125" t="str">
        <f>Comparaison!AA102</f>
        <v>1st</v>
      </c>
      <c r="AB4" s="19"/>
      <c r="AC4" s="19"/>
      <c r="AD4" s="19"/>
      <c r="AE4" s="19" t="str">
        <f>Comparaison!AE102</f>
        <v>2nd</v>
      </c>
      <c r="AF4" s="19"/>
      <c r="AG4" s="19"/>
      <c r="AH4" s="19"/>
      <c r="AI4" s="19" t="str">
        <f>Comparaison!AI102</f>
        <v>3rd</v>
      </c>
      <c r="AJ4" s="19"/>
      <c r="AK4" s="19"/>
      <c r="AL4" s="126"/>
    </row>
    <row r="5" spans="1:39" ht="15.75" x14ac:dyDescent="0.2">
      <c r="B5" s="18" t="str">
        <f>Comparaison!B103</f>
        <v>Year</v>
      </c>
      <c r="C5" s="129">
        <f>Comparaison!C103</f>
        <v>1</v>
      </c>
      <c r="D5" s="130">
        <f>Comparaison!D103</f>
        <v>2</v>
      </c>
      <c r="E5" s="20">
        <f>Comparaison!E103</f>
        <v>3</v>
      </c>
      <c r="F5" s="20">
        <f>Comparaison!F103</f>
        <v>4</v>
      </c>
      <c r="G5" s="20">
        <f>Comparaison!G103</f>
        <v>5</v>
      </c>
      <c r="H5" s="20">
        <f>Comparaison!H103</f>
        <v>6</v>
      </c>
      <c r="I5" s="20">
        <f>Comparaison!I103</f>
        <v>7</v>
      </c>
      <c r="J5" s="20">
        <f>Comparaison!J103</f>
        <v>8</v>
      </c>
      <c r="K5" s="20">
        <f>Comparaison!K103</f>
        <v>9</v>
      </c>
      <c r="L5" s="20">
        <f>Comparaison!L103</f>
        <v>10</v>
      </c>
      <c r="M5" s="20">
        <f>Comparaison!M103</f>
        <v>11</v>
      </c>
      <c r="N5" s="127">
        <f>Comparaison!N103</f>
        <v>12</v>
      </c>
      <c r="O5" s="129">
        <f>Comparaison!O103</f>
        <v>1</v>
      </c>
      <c r="P5" s="131">
        <f>Comparaison!P103</f>
        <v>2</v>
      </c>
      <c r="Q5" s="130">
        <f>Comparaison!Q103</f>
        <v>3</v>
      </c>
      <c r="R5" s="20">
        <f>Comparaison!R103</f>
        <v>4</v>
      </c>
      <c r="S5" s="20">
        <f>Comparaison!S103</f>
        <v>5</v>
      </c>
      <c r="T5" s="20">
        <f>Comparaison!T103</f>
        <v>6</v>
      </c>
      <c r="U5" s="20">
        <f>Comparaison!U103</f>
        <v>7</v>
      </c>
      <c r="V5" s="20">
        <f>Comparaison!V103</f>
        <v>8</v>
      </c>
      <c r="W5" s="20">
        <f>Comparaison!W103</f>
        <v>9</v>
      </c>
      <c r="X5" s="20">
        <f>Comparaison!X103</f>
        <v>10</v>
      </c>
      <c r="Y5" s="20">
        <f>Comparaison!Y103</f>
        <v>11</v>
      </c>
      <c r="Z5" s="20">
        <f>Comparaison!Z103</f>
        <v>12</v>
      </c>
      <c r="AA5" s="129">
        <f>Comparaison!AA103</f>
        <v>1</v>
      </c>
      <c r="AB5" s="131">
        <f>Comparaison!AB103</f>
        <v>2</v>
      </c>
      <c r="AC5" s="131">
        <f>Comparaison!AC103</f>
        <v>3</v>
      </c>
      <c r="AD5" s="130">
        <f>Comparaison!AD103</f>
        <v>4</v>
      </c>
      <c r="AE5" s="20">
        <f>Comparaison!AE103</f>
        <v>5</v>
      </c>
      <c r="AF5" s="20">
        <f>Comparaison!AF103</f>
        <v>6</v>
      </c>
      <c r="AG5" s="20">
        <f>Comparaison!AG103</f>
        <v>7</v>
      </c>
      <c r="AH5" s="20">
        <f>Comparaison!AH103</f>
        <v>8</v>
      </c>
      <c r="AI5" s="20">
        <f>Comparaison!AI103</f>
        <v>9</v>
      </c>
      <c r="AJ5" s="20">
        <f>Comparaison!AJ103</f>
        <v>10</v>
      </c>
      <c r="AK5" s="20">
        <f>Comparaison!AK103</f>
        <v>11</v>
      </c>
      <c r="AL5" s="128">
        <f>Comparaison!AL103</f>
        <v>12</v>
      </c>
    </row>
    <row r="6" spans="1:39" ht="15.75" x14ac:dyDescent="0.2">
      <c r="B6" s="18" t="s">
        <v>377</v>
      </c>
      <c r="C6" s="44" t="str">
        <f>MID(Comparaison!C104,1,2)</f>
        <v>Po</v>
      </c>
      <c r="D6" s="43" t="str">
        <f>MID(Comparaison!D104,1,2)</f>
        <v>Ma</v>
      </c>
      <c r="E6" s="45" t="str">
        <f>MID(Comparaison!E104,1,2)</f>
        <v>Po</v>
      </c>
      <c r="F6" s="45" t="str">
        <f>MID(Comparaison!F104,1,2)</f>
        <v>Ma</v>
      </c>
      <c r="G6" s="45" t="str">
        <f>MID(Comparaison!G104,1,2)</f>
        <v>Po</v>
      </c>
      <c r="H6" s="45" t="str">
        <f>MID(Comparaison!H104,1,2)</f>
        <v>Ma</v>
      </c>
      <c r="I6" s="45" t="str">
        <f>MID(Comparaison!I104,1,2)</f>
        <v>Po</v>
      </c>
      <c r="J6" s="45" t="str">
        <f>MID(Comparaison!J104,1,2)</f>
        <v>Ma</v>
      </c>
      <c r="K6" s="45" t="str">
        <f>MID(Comparaison!K104,1,2)</f>
        <v>Po</v>
      </c>
      <c r="L6" s="45" t="str">
        <f>MID(Comparaison!L104,1,2)</f>
        <v>Ma</v>
      </c>
      <c r="M6" s="45" t="str">
        <f>MID(Comparaison!M104,1,2)</f>
        <v>Po</v>
      </c>
      <c r="N6" s="43" t="str">
        <f>MID(Comparaison!N104,1,2)</f>
        <v>Ma</v>
      </c>
      <c r="O6" s="44" t="str">
        <f>MID(Comparaison!O104,1,2)</f>
        <v>Po</v>
      </c>
      <c r="P6" s="45" t="str">
        <f>MID(Comparaison!P104,1,2)</f>
        <v>Or</v>
      </c>
      <c r="Q6" s="43" t="str">
        <f>MID(Comparaison!Q104,1,2)</f>
        <v>Cu</v>
      </c>
      <c r="R6" s="45" t="str">
        <f>MID(Comparaison!R104,1,2)</f>
        <v>Po</v>
      </c>
      <c r="S6" s="45" t="str">
        <f>MID(Comparaison!S104,1,2)</f>
        <v>Or</v>
      </c>
      <c r="T6" s="45" t="str">
        <f>MID(Comparaison!T104,1,2)</f>
        <v>Cu</v>
      </c>
      <c r="U6" s="45" t="str">
        <f>MID(Comparaison!U104,1,2)</f>
        <v>Po</v>
      </c>
      <c r="V6" s="45" t="str">
        <f>MID(Comparaison!V104,1,2)</f>
        <v>Or</v>
      </c>
      <c r="W6" s="45" t="str">
        <f>MID(Comparaison!W104,1,2)</f>
        <v>Cu</v>
      </c>
      <c r="X6" s="45" t="str">
        <f>MID(Comparaison!X104,1,2)</f>
        <v>Po</v>
      </c>
      <c r="Y6" s="45" t="str">
        <f>MID(Comparaison!Y104,1,2)</f>
        <v>Or</v>
      </c>
      <c r="Z6" s="45" t="str">
        <f>MID(Comparaison!Z104,1,2)</f>
        <v>Cu</v>
      </c>
      <c r="AA6" s="44" t="str">
        <f>MID(Comparaison!AA104,1,2)</f>
        <v>Po</v>
      </c>
      <c r="AB6" s="45" t="str">
        <f>MID(Comparaison!AB104,1,2)</f>
        <v>Ma</v>
      </c>
      <c r="AC6" s="45" t="str">
        <f>MID(Comparaison!AC104,1,2)</f>
        <v>Bl</v>
      </c>
      <c r="AD6" s="43" t="str">
        <f>MID(Comparaison!AD104,1,2)</f>
        <v>Cu</v>
      </c>
      <c r="AE6" s="135" t="str">
        <f>MID(Comparaison!AE104,1,2)</f>
        <v>Po</v>
      </c>
      <c r="AF6" s="135" t="str">
        <f>MID(Comparaison!AF104,1,2)</f>
        <v>Ma</v>
      </c>
      <c r="AG6" s="135" t="str">
        <f>MID(Comparaison!AG104,1,2)</f>
        <v>Bl</v>
      </c>
      <c r="AH6" s="135" t="str">
        <f>MID(Comparaison!AH104,1,2)</f>
        <v>Cu</v>
      </c>
      <c r="AI6" s="135" t="str">
        <f>MID(Comparaison!AI104,1,2)</f>
        <v>Po</v>
      </c>
      <c r="AJ6" s="135" t="str">
        <f>MID(Comparaison!AJ104,1,2)</f>
        <v>Ma</v>
      </c>
      <c r="AK6" s="135" t="str">
        <f>MID(Comparaison!AK104,1,2)</f>
        <v>Bl</v>
      </c>
      <c r="AL6" s="135" t="str">
        <f>MID(Comparaison!AL104,1,2)</f>
        <v>Cu</v>
      </c>
    </row>
    <row r="7" spans="1:39" s="46" customFormat="1" x14ac:dyDescent="0.2"/>
    <row r="8" spans="1:39" hidden="1" x14ac:dyDescent="0.2">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row>
    <row r="9" spans="1:39" hidden="1" x14ac:dyDescent="0.2">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row>
    <row r="10" spans="1:39" hidden="1" x14ac:dyDescent="0.2">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row>
    <row r="11" spans="1:39" hidden="1" x14ac:dyDescent="0.2">
      <c r="B11" s="340"/>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row>
    <row r="12" spans="1:39" hidden="1" x14ac:dyDescent="0.2">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row>
    <row r="13" spans="1:39" hidden="1" x14ac:dyDescent="0.2">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row>
    <row r="14" spans="1:39" hidden="1" x14ac:dyDescent="0.2">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row>
    <row r="15" spans="1:39" hidden="1" x14ac:dyDescent="0.2">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row>
    <row r="16" spans="1:39" hidden="1" x14ac:dyDescent="0.2">
      <c r="B16" s="340"/>
      <c r="C16" s="340"/>
      <c r="D16" s="340"/>
      <c r="E16" s="340"/>
      <c r="F16" s="340"/>
      <c r="G16" s="340"/>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row>
    <row r="17" spans="1:39" hidden="1" x14ac:dyDescent="0.2">
      <c r="A17" s="91"/>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91"/>
    </row>
    <row r="18" spans="1:39" hidden="1" x14ac:dyDescent="0.2">
      <c r="B18" s="391"/>
      <c r="C18" s="391"/>
      <c r="D18" s="391"/>
      <c r="E18" s="391"/>
      <c r="F18" s="391"/>
      <c r="G18" s="391"/>
      <c r="H18" s="391"/>
      <c r="I18" s="391"/>
      <c r="J18" s="391"/>
      <c r="K18" s="391"/>
      <c r="L18" s="391"/>
      <c r="M18" s="391"/>
      <c r="N18" s="391"/>
      <c r="O18" s="391"/>
      <c r="P18" s="391"/>
      <c r="Q18" s="391"/>
      <c r="R18" s="391"/>
      <c r="S18" s="391"/>
      <c r="T18" s="391"/>
      <c r="U18" s="391"/>
      <c r="V18" s="391"/>
      <c r="W18" s="391"/>
      <c r="X18" s="391"/>
      <c r="Y18" s="391"/>
      <c r="Z18" s="391"/>
      <c r="AA18" s="391"/>
      <c r="AB18" s="391"/>
      <c r="AC18" s="391"/>
      <c r="AD18" s="391"/>
      <c r="AE18" s="391"/>
      <c r="AF18" s="391"/>
      <c r="AG18" s="391"/>
      <c r="AH18" s="391"/>
      <c r="AI18" s="391"/>
      <c r="AJ18" s="391"/>
      <c r="AK18" s="391"/>
      <c r="AL18" s="391"/>
    </row>
    <row r="19" spans="1:39" hidden="1" x14ac:dyDescent="0.2">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row>
    <row r="20" spans="1:39" hidden="1" x14ac:dyDescent="0.2">
      <c r="B20" s="340"/>
      <c r="C20" s="340"/>
      <c r="D20" s="340"/>
      <c r="E20" s="340"/>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row>
    <row r="21" spans="1:39" hidden="1" x14ac:dyDescent="0.2">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row>
    <row r="22" spans="1:39" hidden="1" x14ac:dyDescent="0.2">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row>
    <row r="23" spans="1:39" hidden="1" x14ac:dyDescent="0.2">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row>
    <row r="24" spans="1:39" hidden="1" x14ac:dyDescent="0.2">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row>
    <row r="25" spans="1:39" hidden="1" x14ac:dyDescent="0.2">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row>
    <row r="26" spans="1:39" hidden="1" x14ac:dyDescent="0.2">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row>
    <row r="27" spans="1:39" hidden="1" x14ac:dyDescent="0.2">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row>
    <row r="28" spans="1:39" hidden="1" x14ac:dyDescent="0.2">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row>
    <row r="29" spans="1:39" hidden="1" x14ac:dyDescent="0.2">
      <c r="B29" s="340"/>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row>
    <row r="30" spans="1:39" hidden="1" x14ac:dyDescent="0.2">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row>
    <row r="31" spans="1:39" hidden="1" x14ac:dyDescent="0.2">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row>
    <row r="32" spans="1:39" hidden="1" x14ac:dyDescent="0.2">
      <c r="B32" s="340"/>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row>
    <row r="33" spans="2:38" hidden="1" x14ac:dyDescent="0.2">
      <c r="B33" s="340"/>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row>
    <row r="34" spans="2:38" hidden="1" x14ac:dyDescent="0.2">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row>
    <row r="35" spans="2:38" hidden="1" x14ac:dyDescent="0.2">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row>
    <row r="36" spans="2:38" hidden="1" x14ac:dyDescent="0.2">
      <c r="B36" s="340"/>
      <c r="C36" s="340"/>
      <c r="D36" s="340"/>
      <c r="E36" s="340"/>
      <c r="F36" s="340"/>
      <c r="G36" s="340"/>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row>
    <row r="37" spans="2:38" hidden="1" x14ac:dyDescent="0.2">
      <c r="B37" s="340"/>
      <c r="C37" s="340"/>
      <c r="D37" s="340"/>
      <c r="E37" s="340"/>
      <c r="F37" s="340"/>
      <c r="G37" s="340"/>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row>
    <row r="38" spans="2:38" hidden="1" x14ac:dyDescent="0.2">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row>
    <row r="39" spans="2:38" hidden="1" x14ac:dyDescent="0.2">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row>
    <row r="40" spans="2:38" hidden="1" x14ac:dyDescent="0.2">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row>
    <row r="41" spans="2:38" hidden="1" x14ac:dyDescent="0.2">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row>
    <row r="42" spans="2:38" hidden="1" x14ac:dyDescent="0.2">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row>
    <row r="43" spans="2:38" hidden="1" x14ac:dyDescent="0.2">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row>
    <row r="44" spans="2:38" hidden="1" x14ac:dyDescent="0.2">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row>
    <row r="45" spans="2:38" hidden="1" x14ac:dyDescent="0.2">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row>
    <row r="46" spans="2:38" hidden="1" x14ac:dyDescent="0.2">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row>
    <row r="47" spans="2:38" hidden="1" x14ac:dyDescent="0.2">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row>
    <row r="48" spans="2:38" hidden="1" x14ac:dyDescent="0.2">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row>
    <row r="49" spans="2:38" hidden="1" x14ac:dyDescent="0.2">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row>
    <row r="50" spans="2:38" hidden="1" x14ac:dyDescent="0.2">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row>
    <row r="51" spans="2:38" hidden="1" x14ac:dyDescent="0.2">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row>
    <row r="52" spans="2:38" hidden="1" x14ac:dyDescent="0.2">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row>
    <row r="53" spans="2:38" hidden="1" x14ac:dyDescent="0.2">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row>
    <row r="54" spans="2:38" hidden="1" x14ac:dyDescent="0.2">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row>
    <row r="55" spans="2:38" hidden="1" x14ac:dyDescent="0.2">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2:38" hidden="1" x14ac:dyDescent="0.2">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row>
    <row r="57" spans="2:38" hidden="1" x14ac:dyDescent="0.2">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row>
    <row r="58" spans="2:38" hidden="1" x14ac:dyDescent="0.2">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row>
    <row r="59" spans="2:38" hidden="1" x14ac:dyDescent="0.2">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row>
    <row r="60" spans="2:38" hidden="1" x14ac:dyDescent="0.2">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row>
    <row r="61" spans="2:38" hidden="1" x14ac:dyDescent="0.2">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row>
    <row r="62" spans="2:38" hidden="1" x14ac:dyDescent="0.2">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row>
    <row r="63" spans="2:38" hidden="1" x14ac:dyDescent="0.2">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row>
    <row r="64" spans="2:38" hidden="1" x14ac:dyDescent="0.2">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row>
    <row r="65" spans="2:38" hidden="1" x14ac:dyDescent="0.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I65" s="232"/>
      <c r="AJ65" s="232"/>
      <c r="AK65" s="232"/>
      <c r="AL65" s="232"/>
    </row>
    <row r="66" spans="2:38" hidden="1" x14ac:dyDescent="0.2">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row>
    <row r="67" spans="2:38" hidden="1" x14ac:dyDescent="0.2">
      <c r="B67" s="340"/>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row>
    <row r="68" spans="2:38" hidden="1" x14ac:dyDescent="0.2">
      <c r="B68" s="340"/>
      <c r="C68" s="340"/>
      <c r="D68" s="340"/>
      <c r="E68" s="340"/>
      <c r="F68" s="340"/>
      <c r="G68" s="340"/>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row>
    <row r="69" spans="2:38" hidden="1" x14ac:dyDescent="0.2">
      <c r="B69" s="340"/>
      <c r="C69" s="340"/>
      <c r="D69" s="340"/>
      <c r="E69" s="340"/>
      <c r="F69" s="340"/>
      <c r="G69" s="340"/>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row>
    <row r="70" spans="2:38" hidden="1" x14ac:dyDescent="0.2">
      <c r="B70" s="340"/>
      <c r="C70" s="340"/>
      <c r="D70" s="340"/>
      <c r="E70" s="340"/>
      <c r="F70" s="340"/>
      <c r="G70" s="340"/>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row>
    <row r="71" spans="2:38" hidden="1" x14ac:dyDescent="0.2">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row>
    <row r="72" spans="2:38" hidden="1" x14ac:dyDescent="0.2">
      <c r="B72" s="340"/>
      <c r="C72" s="340"/>
      <c r="D72" s="340"/>
      <c r="E72" s="340"/>
      <c r="F72" s="340"/>
      <c r="G72" s="340"/>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row>
    <row r="73" spans="2:38" hidden="1" x14ac:dyDescent="0.2">
      <c r="B73" s="340"/>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row>
    <row r="74" spans="2:38" hidden="1" x14ac:dyDescent="0.2">
      <c r="B74" s="340"/>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row>
    <row r="75" spans="2:38" hidden="1" x14ac:dyDescent="0.2">
      <c r="B75" s="340"/>
      <c r="C75" s="340"/>
      <c r="D75" s="340"/>
      <c r="E75" s="340"/>
      <c r="F75" s="340"/>
      <c r="G75" s="340"/>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row>
    <row r="76" spans="2:38" hidden="1" x14ac:dyDescent="0.2">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row>
    <row r="77" spans="2:38" hidden="1" x14ac:dyDescent="0.2">
      <c r="B77" s="340"/>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row>
    <row r="78" spans="2:38" hidden="1" x14ac:dyDescent="0.2">
      <c r="B78" s="340"/>
      <c r="C78" s="340"/>
      <c r="D78" s="340"/>
      <c r="E78" s="340"/>
      <c r="F78" s="340"/>
      <c r="G78" s="340"/>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row>
    <row r="79" spans="2:38" hidden="1" x14ac:dyDescent="0.2">
      <c r="B79" s="340"/>
      <c r="C79" s="340"/>
      <c r="D79" s="340"/>
      <c r="E79" s="340"/>
      <c r="F79" s="340"/>
      <c r="G79" s="34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row>
    <row r="80" spans="2:38" hidden="1" x14ac:dyDescent="0.2">
      <c r="B80" s="340"/>
      <c r="C80" s="340"/>
      <c r="D80" s="340"/>
      <c r="E80" s="340"/>
      <c r="F80" s="340"/>
      <c r="G80" s="340"/>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row>
    <row r="81" spans="2:38" hidden="1" x14ac:dyDescent="0.2">
      <c r="B81" s="340"/>
      <c r="C81" s="340"/>
      <c r="D81" s="340"/>
      <c r="E81" s="340"/>
      <c r="F81" s="340"/>
      <c r="G81" s="340"/>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row>
    <row r="82" spans="2:38" hidden="1" x14ac:dyDescent="0.2">
      <c r="B82" s="340"/>
      <c r="C82" s="340"/>
      <c r="D82" s="340"/>
      <c r="E82" s="340"/>
      <c r="F82" s="340"/>
      <c r="G82" s="340"/>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row>
    <row r="83" spans="2:38" hidden="1" x14ac:dyDescent="0.2">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row>
    <row r="84" spans="2:38" hidden="1" x14ac:dyDescent="0.2">
      <c r="B84" s="340"/>
      <c r="C84" s="340"/>
      <c r="D84" s="340"/>
      <c r="E84" s="340"/>
      <c r="F84" s="340"/>
      <c r="G84" s="34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row>
    <row r="85" spans="2:38" hidden="1" x14ac:dyDescent="0.2">
      <c r="B85" s="340"/>
      <c r="C85" s="340"/>
      <c r="D85" s="340"/>
      <c r="E85" s="340"/>
      <c r="F85" s="340"/>
      <c r="G85" s="34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row>
    <row r="86" spans="2:38" hidden="1" x14ac:dyDescent="0.2">
      <c r="B86" s="340"/>
      <c r="C86" s="340"/>
      <c r="D86" s="340"/>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row>
    <row r="87" spans="2:38" hidden="1" x14ac:dyDescent="0.2">
      <c r="B87" s="340"/>
      <c r="C87" s="340"/>
      <c r="D87" s="340"/>
      <c r="E87" s="340"/>
      <c r="F87" s="340"/>
      <c r="G87" s="34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row>
    <row r="88" spans="2:38" hidden="1" x14ac:dyDescent="0.2">
      <c r="B88" s="340"/>
      <c r="C88" s="340"/>
      <c r="D88" s="340"/>
      <c r="E88" s="340"/>
      <c r="F88" s="340"/>
      <c r="G88" s="34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row>
    <row r="89" spans="2:38" hidden="1" x14ac:dyDescent="0.2">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row>
    <row r="90" spans="2:38" hidden="1" x14ac:dyDescent="0.2">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row>
    <row r="91" spans="2:38" hidden="1" x14ac:dyDescent="0.2">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row>
    <row r="92" spans="2:38" hidden="1" x14ac:dyDescent="0.2">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row>
    <row r="93" spans="2:38" hidden="1" x14ac:dyDescent="0.2">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row>
    <row r="94" spans="2:38" hidden="1" x14ac:dyDescent="0.2">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row>
    <row r="95" spans="2:38" hidden="1" x14ac:dyDescent="0.2">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row>
    <row r="96" spans="2:38" hidden="1" x14ac:dyDescent="0.2">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row>
    <row r="97" spans="2:38" hidden="1" x14ac:dyDescent="0.2">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row>
    <row r="98" spans="2:38" hidden="1" x14ac:dyDescent="0.2">
      <c r="B98" s="340"/>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row>
    <row r="99" spans="2:38" hidden="1" x14ac:dyDescent="0.2">
      <c r="B99" s="340"/>
      <c r="C99" s="340"/>
      <c r="D99" s="340"/>
      <c r="E99" s="340"/>
      <c r="F99" s="340"/>
      <c r="G99" s="340"/>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row>
    <row r="100" spans="2:38" hidden="1" x14ac:dyDescent="0.2">
      <c r="B100" s="340"/>
      <c r="C100" s="340"/>
      <c r="D100" s="340"/>
      <c r="E100" s="340"/>
      <c r="F100" s="340"/>
      <c r="G100" s="340"/>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row>
    <row r="101" spans="2:38" hidden="1" x14ac:dyDescent="0.2">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row>
    <row r="102" spans="2:38" hidden="1" x14ac:dyDescent="0.2">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row>
    <row r="103" spans="2:38" hidden="1" x14ac:dyDescent="0.2">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row>
    <row r="104" spans="2:38" hidden="1" x14ac:dyDescent="0.2">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row>
    <row r="105" spans="2:38" hidden="1" x14ac:dyDescent="0.2">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row>
    <row r="106" spans="2:38" hidden="1" x14ac:dyDescent="0.2">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row>
    <row r="107" spans="2:38" hidden="1" x14ac:dyDescent="0.2">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row>
    <row r="108" spans="2:38" hidden="1" x14ac:dyDescent="0.2">
      <c r="B108" s="340"/>
      <c r="C108" s="340"/>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row>
    <row r="109" spans="2:38" hidden="1" x14ac:dyDescent="0.2">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row>
    <row r="110" spans="2:38" hidden="1" x14ac:dyDescent="0.2">
      <c r="B110" s="340"/>
      <c r="C110" s="340"/>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row>
    <row r="111" spans="2:38" hidden="1" x14ac:dyDescent="0.2">
      <c r="B111" s="340"/>
      <c r="C111" s="340"/>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row>
    <row r="112" spans="2:38" hidden="1" x14ac:dyDescent="0.2">
      <c r="B112" s="340"/>
      <c r="C112" s="340"/>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row>
    <row r="113" spans="2:38" hidden="1" x14ac:dyDescent="0.2">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row>
    <row r="114" spans="2:38" hidden="1" x14ac:dyDescent="0.2">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row>
    <row r="115" spans="2:38" hidden="1" x14ac:dyDescent="0.2">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row>
    <row r="116" spans="2:38" hidden="1" x14ac:dyDescent="0.2">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row>
    <row r="117" spans="2:38" hidden="1" x14ac:dyDescent="0.2">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row>
    <row r="118" spans="2:38" hidden="1" x14ac:dyDescent="0.2">
      <c r="B118" s="340"/>
      <c r="C118" s="340"/>
      <c r="D118" s="340"/>
      <c r="E118" s="340"/>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row>
    <row r="119" spans="2:38" hidden="1" x14ac:dyDescent="0.2">
      <c r="B119" s="340"/>
      <c r="C119" s="340"/>
      <c r="D119" s="340"/>
      <c r="E119" s="340"/>
      <c r="F119" s="340"/>
      <c r="G119" s="340"/>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row>
    <row r="120" spans="2:38" hidden="1" x14ac:dyDescent="0.2">
      <c r="B120" s="340"/>
      <c r="C120" s="340"/>
      <c r="D120" s="340"/>
      <c r="E120" s="340"/>
      <c r="F120" s="340"/>
      <c r="G120" s="340"/>
      <c r="H120" s="340"/>
      <c r="I120" s="340"/>
      <c r="J120" s="340"/>
      <c r="K120" s="340"/>
      <c r="L120" s="34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row>
    <row r="121" spans="2:38" hidden="1" x14ac:dyDescent="0.2">
      <c r="B121" s="340"/>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row>
    <row r="122" spans="2:38" hidden="1" x14ac:dyDescent="0.2">
      <c r="B122" s="340"/>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row>
    <row r="123" spans="2:38" hidden="1" x14ac:dyDescent="0.2">
      <c r="B123" s="340"/>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row>
    <row r="124" spans="2:38" hidden="1" x14ac:dyDescent="0.2">
      <c r="B124" s="340"/>
      <c r="C124" s="340"/>
      <c r="D124" s="340"/>
      <c r="E124" s="340"/>
      <c r="F124" s="340"/>
      <c r="G124" s="340"/>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row>
    <row r="125" spans="2:38" hidden="1" x14ac:dyDescent="0.2">
      <c r="B125" s="340"/>
      <c r="C125" s="340"/>
      <c r="D125" s="340"/>
      <c r="E125" s="340"/>
      <c r="F125" s="340"/>
      <c r="G125" s="340"/>
      <c r="H125" s="340"/>
      <c r="I125" s="340"/>
      <c r="J125" s="340"/>
      <c r="K125" s="340"/>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row>
    <row r="126" spans="2:38" hidden="1" x14ac:dyDescent="0.2">
      <c r="B126" s="340"/>
      <c r="C126" s="340"/>
      <c r="D126" s="340"/>
      <c r="E126" s="340"/>
      <c r="F126" s="340"/>
      <c r="G126" s="340"/>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row>
    <row r="127" spans="2:38" hidden="1" x14ac:dyDescent="0.2">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row>
    <row r="128" spans="2:38" hidden="1" x14ac:dyDescent="0.2">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row>
  </sheetData>
  <sheetProtection selectLockedCells="1" selectUnlockedCells="1"/>
  <pageMargins left="0.7" right="0.7" top="0.75" bottom="0.75" header="0.3" footer="0.3"/>
  <pageSetup orientation="portrait" r:id="rId1"/>
  <headerFooter>
    <oddHeader>&amp;R&amp;"Calibri"&amp;10&amp;K000000 Unclassified / Non classifié&amp;1#_x000D_</oddHead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  s t a n d a l o n e = " n o " ? > < D a t a M a s h u p   x m l n s = " h t t p : / / s c h e m a s . m i c r o s o f t . c o m / D a t a M a s h u p " > A A A A A F 8 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S 7 l W 6 w A A A D 3 A A A A E g A A A E N v b m Z p Z y 9 Q Y W N r Y W d l L n h t b I S P v Q r C M B z E d 8 F 3 K N m b L 8 G h / J s O r h a E o r i G N t R g m 0 i T m r 6 b g 4 / k K 9 i i V T f H u / v B 3 T 1 u d 8 i G t o m u q n P a m h Q x T F H k v D S V b K x R K T I W Z W K 5 g J 0 s z 7 J W 0 U g b l w y u S t H J + 0 t C S A g B h x W 2 X U 0 4 p Y w c 8 2 1 R n l Q r 0 Q f W / + F Y m 6 m 2 V E j A 4 b V G c M w Y w 2 v K M Q U y m 5 B r 8 w X 4 O H h K f 0 z Y 9 I 3 v O y W U i f c F k F k C e X 8 Q T w A A A P / / A w B Q S w M E F A A C A A g A A A A h A H Y 9 P f 9 v A g A A I A c A A B M A A A B G b 3 J t d W x h c y 9 T Z W N 0 a W 9 u M S 5 t t F R t a 9 s w E P 4 e 6 H 8 4 H A Y 2 O H a c 1 2 a l j J F m o 7 C O s G S 0 M M Z Q 5 P P s z Z Y 8 S U l b Q v / 7 z n b S p G l a m o 3 6 g y 3 d + e 5 5 7 r m T N H K T S A G T 6 h u c 1 G o 6 Z g p D q F t T N k s R m h a c Q o r m q A b 0 T O R c c S T L J c 6 8 M f u J d r E Y S m F Q G G 1 b s T G 5 f u v 7 1 9 f X 3 o y J 3 z L i T L C Q e Z z 5 i h n U f q 4 S j o 1 E h H h D O 5 4 n f p 1 e D S M N S y 3 H c S u c M 2 Z Y k 2 A q v G X z 7 l t h + b 7 y 1 q 0 v m M k F s R z K d J 4 J X X A s 6 X q V Y 2 W 2 y z T u 0 h o j Z R G G + A K P m a A P / a T A x A g 5 0 w a C F m R U Q 6 x h W v C A 4 f g c F p 2 g N 2 g O + m 3 L h Q M S j B V G q A o F M 2 R 6 r l C D j I B L h Z C I K G W l 3 J S / Y V S S w b 6 n b q e R s 2 u 0 N W X z g I W / P A c W Q f O 4 f 9 z t B 9 1 X 4 p Z h m D D x v + w 6 r 8 S O y 4 x C N j g H d o h S X F F w 0 O o O 2 v 1 m 6 + D g x t W H 0 b Q Y j 3 6 3 2 + 7 3 D o 6 / h E W 7 1 x 6 U r D f j 9 l D C a v Z I w T v n f u a H Z e Y Q p r c 5 b g Z + q p j Q k V R Z N f O F U 9 u P D 4 i 7 X F o X B Q U Y v v 8 8 O b 8 g c E O / Q k i H 8 m 4 L 5 G y e p w k n 4 z p 0 g 3 T v q h z 2 D i O q Z g f g w R 4 a l D C / t T Z Q o x u j G C + Q P h U a U b J y q / S T x R W F P S b o w k 5 t a y g X k P E Y p n h j v J E I 7 X L x Q c n M / k H k U D S + T o g O d J y V F o b 8 2 1 q s N b y H 3 G J 2 l m i T C G 7 s 5 + o g Z n u J P d H U 4 M V d 3 W L k P l n 8 u T C 9 j l e E U l F H t U T s x 9 x z 5 Y P d c v 7 p 2 o 8 S w Q R H 7 5 b F U n p 0 T v 0 / c 2 n Q f 9 M d f Z y M h + / y 0 9 X q 5 T f 9 A V O / u u 2 X V m U M r O 2 + F r 2 o 7 K 2 1 X c y z G a p n x L F O / g I A A P / / A w B Q S w E C L Q A U A A Y A C A A A A C E A K t 2 q Q N I A A A A 3 A Q A A E w A A A A A A A A A A A A A A A A A A A A A A W 0 N v b n R l b n R f V H l w Z X N d L n h t b F B L A Q I t A B Q A A g A I A A A A I Q B 5 L u V b r A A A A P c A A A A S A A A A A A A A A A A A A A A A A A s D A A B D b 2 5 m a W c v U G F j a 2 F n Z S 5 4 b W x Q S w E C L Q A U A A I A C A A A A C E A d j 0 9 / 2 8 C A A A g B w A A E w A A A A A A A A A A A A A A A A D n A w A A R m 9 y b X V s Y X M v U 2 V j d G l v b j E u b V B L B Q Y A A A A A A w A D A M I A A A C H B g 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0 x U A A A A A A A C x F 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R h Y m x l J T I w M D w v S X R l b V B h d G g + P C 9 J d G V t T G 9 j Y X R p b 2 4 + P F N 0 Y W J s Z U V u d H J p Z X M + P E V u d H J 5 I F R 5 c G U 9 I k F k Z G V k V G 9 E Y X R h T W 9 k Z W w i I F Z h b H V l P S J s M C I v P j x F b n R y e S B U e X B l P S J C d W Z m Z X J O Z X h 0 U m V m c m V z a C I g V m F s d W U 9 I m w w I i 8 + P E V u d H J 5 I F R 5 c G U 9 I k Z p b G x F b m F i b G V k I i B W Y W x 1 Z T 0 i b D A i L z 4 8 R W 5 0 c n k g V H l w Z T 0 i R m l s b E V y c m 9 y Q 2 9 k Z S I g V m F s d W U 9 I n N V b m t u b 3 d u I i 8 + P E V u d H J 5 I F R 5 c G U 9 I k Z p b G x F c n J v c k 1 l c 3 N h Z 2 U i I F Z h b H V l P S J z R G 9 3 b m x v Y W Q g Z m F p b G V k L i I v P j x F b n R y e S B U e X B l P S J G a W x s T G F z d F V w Z G F 0 Z W Q i I F Z h b H V l P S J k M j A y M y 0 w M y 0 w M V Q y M T o y O T o y N S 4 z O T Q 1 N j I z W i I v P j x F b n R y e S B U e X B l P S J G a W x s Q 2 9 s d W 1 u V H l w Z X M i I F Z h b H V l P S J z Q 1 F Z R C I v P j x F b n R y e S B U e X B l P S J G a W x s Q 2 9 s d W 1 u T m F t Z X M i I F Z h b H V l P S J z W y Z x d W 9 0 O 0 1 v b n R o I E N B T l N J T S Z x d W 9 0 O y w m c X V v d D t U b 3 R h b C B D U E k g d j Q x N j k w O T c z J n F 1 b 3 Q 7 L C Z x d W 9 0 O 0 1 v b n R o I E N B T l N J T S A t I E N v c H k m c X V v d D t d I i 8 + P E V u d H J 5 I F R 5 c G U 9 I k Z p b G x l Z E N v b X B s Z X R l U m V z d W x 0 V G 9 X b 3 J r c 2 h l Z X Q i I F Z h b H V l P S J s M S I v P j x F b n R y e S B U e X B l P S J G a W x s U 3 R h d H V z I i B W Y W x 1 Z T 0 i c 0 V y c m 9 y I i 8 + P E V u d H J 5 I F R 5 c G U 9 I k Z p b G x U Y X J n Z X R O Y W 1 l Q 3 V z d G 9 t a X p l Z C I g V m F s d W U 9 I m w x I i 8 + P E V u d H J 5 I F R 5 c G U 9 I k Z p b G x U b 0 R h d G F N b 2 R l b E V u Y W J s Z W Q i I F Z h b H V l P S J s M C I v P j x F b n R y e S B U e X B l P S J J c 1 B y a X Z h d G U i I F Z h b H V l P S J s M C I v P j x F b n R y e S B U e X B l P S J R d W V y e U l E I i B W Y W x 1 Z T 0 i c 2 I 1 Z D d h O W Z l L W I x Z D M t N G I x N S 1 i Z j N l L W I 1 O T F i Z m M z N T M 4 N i I v P j x F b n R y e S B U e X B l P S J S Z W N v d m V y e V R h c m d l d E N v b H V t b i I g V m F s d W U 9 I m w x I i 8 + P E V u d H J 5 I F R 5 c G U 9 I l J l Y 2 9 2 Z X J 5 V G F y Z 2 V 0 U m 9 3 I i B W Y W x 1 Z T 0 i b D E i L z 4 8 R W 5 0 c n k g V H l w Z T 0 i U m V j b 3 Z l c n l U Y X J n Z X R T a G V l d C I g V m F s d W U 9 I n N T a G V l d D I i L z 4 8 R W 5 0 c n k g V H l w Z T 0 i U m V s Y X R p b 2 5 z a G l w S W 5 m b 0 N v b n R h a W 5 l c i I g V m F s d W U 9 I n N 7 J n F 1 b 3 Q 7 Y 2 9 s d W 1 u Q 2 9 1 b n Q m c X V v d D s 6 M y w m c X V v d D t r Z X l D b 2 x 1 b W 5 O Y W 1 l c y Z x d W 9 0 O z p b X S w m c X V v d D t x d W V y e V J l b G F 0 a W 9 u c 2 h p c H M m c X V v d D s 6 W 1 0 s J n F 1 b 3 Q 7 Y 2 9 s d W 1 u S W R l b n R p d G l l c y Z x d W 9 0 O z p b J n F 1 b 3 Q 7 U 2 V j d G l v b j E v V G F i b G U g M C 9 D a G F u Z 2 V k I F R 5 c G U u e 0 1 v b n R o I E N B T l N J T S w w f S Z x d W 9 0 O y w m c X V v d D t T Z W N 0 a W 9 u M S 9 U Y W J s Z S A w L 0 R h d G E w L n t U b 3 R h b C B D U E k g d j Q x N j k w O T c z L D F 9 J n F 1 b 3 Q 7 L C Z x d W 9 0 O 1 N l Y 3 R p b 2 4 x L 1 R h Y m x l I D A v Q 2 h h b m d l Z C B U e X B l M S 5 7 T W 9 u d G g g Q 0 F O U 0 l N I C 0 g Q 2 9 w e S w y f S Z x d W 9 0 O 1 0 s J n F 1 b 3 Q 7 Q 2 9 s d W 1 u Q 2 9 1 b n Q m c X V v d D s 6 M y w m c X V v d D t L Z X l D b 2 x 1 b W 5 O Y W 1 l c y Z x d W 9 0 O z p b X S w m c X V v d D t D b 2 x 1 b W 5 J Z G V u d G l 0 a W V z J n F 1 b 3 Q 7 O l s m c X V v d D t T Z W N 0 a W 9 u M S 9 U Y W J s Z S A w L 0 N o Y W 5 n Z W Q g V H l w Z S 5 7 T W 9 u d G g g Q 0 F O U 0 l N L D B 9 J n F 1 b 3 Q 7 L C Z x d W 9 0 O 1 N l Y 3 R p b 2 4 x L 1 R h Y m x l I D A v R G F 0 Y T A u e 1 R v d G F s I E N Q S S B 2 N D E 2 O T A 5 N z M s M X 0 m c X V v d D s s J n F 1 b 3 Q 7 U 2 V j d G l v b j E v V G F i b G U g M C 9 D a G F u Z 2 V k I F R 5 c G U x L n t N b 2 5 0 a C B D Q U 5 T S U 0 g L S B D b 3 B 5 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S U y M D A l M j A o M i k 8 L 0 l 0 Z W 1 Q Y X R o P j w v S X R l b U x v Y 2 F 0 a W 9 u P j x T d G F i b G V F b n R y a W V z P j x F b n R y e S B U e X B l P S J B Z G R l Z F R v R G F 0 Y U 1 v Z G V s I i B W Y W x 1 Z T 0 i b D A i L z 4 8 R W 5 0 c n k g V H l w Z T 0 i Q n V m Z m V y T m V 4 d F J l Z n J l c 2 g i I F Z h b H V l P S J s M S I v P j x F b n R y e S B U e X B l P S J G a W x s Q 2 9 1 b n Q i I F Z h b H V l P S J s M y I v P j x F b n R y e S B U e X B l P S J G a W x s R W 5 h Y m x l Z C I g V m F s d W U 9 I m w w I i 8 + P E V u d H J 5 I F R 5 c G U 9 I k Z p b G x F c n J v c k N v Z G U i I F Z h b H V l P S J z V W 5 r b m 9 3 b i I v P j x F b n R y e S B U e X B l P S J G a W x s R X J y b 3 J D b 3 V u d C I g V m F s d W U 9 I m w w I i 8 + P E V u d H J 5 I F R 5 c G U 9 I k Z p b G x M Y X N 0 V X B k Y X R l Z C I g V m F s d W U 9 I m Q y M D I x L T A z L T A 5 V D I z O j E 1 O j M 1 L j E 0 M T Q w M D d a I i 8 + P E V u d H J 5 I F R 5 c G U 9 I k Z p b G x D b 2 x 1 b W 5 U e X B l c y I g V m F s d W U 9 I n N C Z 1 U 9 I i 8 + P E V u d H J 5 I F R 5 c G U 9 I k Z p b G x D b 2 x 1 b W 5 O Y W 1 l c y I g V m F s d W U 9 I n N b J n F 1 b 3 Q 7 Q 2 9 s d W 1 u M S Z x d W 9 0 O y w m c X V v d D t D b 2 x 1 b W 4 y 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Z j E 1 Z j k 2 M i 0 w Y z M y L T Q y Z j E t O D M z M i 0 4 M 2 Y 4 M z R j Y T V k Y z Q i L z 4 8 R W 5 0 c n k g V H l w Z T 0 i U m V j b 3 Z l c n l U Y X J n Z X R D b 2 x 1 b W 4 i I F Z h b H V l P S J s M S I v P j x F b n R y e S B U e X B l P S J S Z W N v d m V y e V R h c m d l d F J v d y I g V m F s d W U 9 I m w x I i 8 + P E V u d H J 5 I F R 5 c G U 9 I l J l Y 2 9 2 Z X J 5 V G F y Z 2 V 0 U 2 h l Z X Q i I F Z h b H V l P S J z U 2 h l Z X Q z I i 8 + P E V u d H J 5 I F R 5 c G U 9 I l J l b G F 0 a W 9 u c 2 h p c E l u Z m 9 D b 2 5 0 Y W l u Z X I i I F Z h b H V l P S J z e y Z x d W 9 0 O 2 N v b H V t b k N v d W 5 0 J n F 1 b 3 Q 7 O j I s J n F 1 b 3 Q 7 a 2 V 5 Q 2 9 s d W 1 u T m F t Z X M m c X V v d D s 6 W 1 0 s J n F 1 b 3 Q 7 c X V l c n l S Z W x h d G l v b n N o a X B z J n F 1 b 3 Q 7 O l t d L C Z x d W 9 0 O 2 N v b H V t b k l k Z W 5 0 a X R p Z X M m c X V v d D s 6 W y Z x d W 9 0 O 1 N l Y 3 R p b 2 4 x L 1 R h Y m x l I D A g K D I p L 0 N o Y W 5 n Z W Q g V H l w Z S 5 7 Q 2 9 s d W 1 u M S w w f S Z x d W 9 0 O y w m c X V v d D t T Z W N 0 a W 9 u M S 9 U Y W J s Z S A w I C g y K S 9 D a G F u Z 2 V k I F R 5 c G U u e 0 N v b H V t b j I s M X 0 m c X V v d D t d L C Z x d W 9 0 O 0 N v b H V t b k N v d W 5 0 J n F 1 b 3 Q 7 O j I s J n F 1 b 3 Q 7 S 2 V 5 Q 2 9 s d W 1 u T m F t Z X M m c X V v d D s 6 W 1 0 s J n F 1 b 3 Q 7 Q 2 9 s d W 1 u S W R l b n R p d G l l c y Z x d W 9 0 O z p b J n F 1 b 3 Q 7 U 2 V j d G l v b j E v V G F i b G U g M C A o M i k v Q 2 h h b m d l Z C B U e X B l L n t D b 2 x 1 b W 4 x L D B 9 J n F 1 b 3 Q 7 L C Z x d W 9 0 O 1 N l Y 3 R p b 2 4 x L 1 R h Y m x l I D A g K D I p L 0 N o Y W 5 n Z W Q g V H l w Z S 5 7 Q 2 9 s d W 1 u M i w x 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l M j A w L 1 N v d X J j Z T w v S X R l b V B h d G g + P C 9 J d G V t T G 9 j Y X R p b 2 4 + P F N 0 Y W J s Z U V u d H J p Z X M v P j w v S X R l b T 4 8 S X R l b T 4 8 S X R l b U x v Y 2 F 0 a W 9 u P j x J d G V t V H l w Z T 5 G b 3 J t d W x h P C 9 J d G V t V H l w Z T 4 8 S X R l b V B h d G g + U 2 V j d G l v b j E v V G F i b G U l M j A w L 0 R h d G E w P C 9 J d G V t U G F 0 a D 4 8 L 0 l 0 Z W 1 M b 2 N h d G l v b j 4 8 U 3 R h Y m x l R W 5 0 c m l l c y 8 + P C 9 J d G V t P j x J d G V t P j x J d G V t T G 9 j Y X R p b 2 4 + P E l 0 Z W 1 U e X B l P k Z v c m 1 1 b G E 8 L 0 l 0 Z W 1 U e X B l P j x J d G V t U G F 0 a D 5 T Z W N 0 a W 9 u M S 9 U Y W J s Z S U y M D A v U m V t b 3 Z l Z C U y M E N v b H V t b n M 8 L 0 l 0 Z W 1 Q Y X R o P j w v S X R l b U x v Y 2 F 0 a W 9 u P j x T d G F i b G V F b n R y a W V z L z 4 8 L 0 l 0 Z W 0 + P E l 0 Z W 0 + P E l 0 Z W 1 M b 2 N h d G l v b j 4 8 S X R l b V R 5 c G U + R m 9 y b X V s Y T w v S X R l b V R 5 c G U + P E l 0 Z W 1 Q Y X R o P l N l Y 3 R p b 2 4 x L 1 R h Y m x l J T I w M C 9 E d X B s a W N h d G V k J T I w Q 2 9 s d W 1 u P C 9 J d G V t U G F 0 a D 4 8 L 0 l 0 Z W 1 M b 2 N h d G l v b j 4 8 U 3 R h Y m x l R W 5 0 c m l l c y 8 + P C 9 J d G V t P j x J d G V t P j x J d G V t T G 9 j Y X R p b 2 4 + P E l 0 Z W 1 U e X B l P k Z v c m 1 1 b G E 8 L 0 l 0 Z W 1 U e X B l P j x J d G V t U G F 0 a D 5 T Z W N 0 a W 9 u M S 9 U Y W J s Z S U y M D A l M j A o M i k v U 2 9 1 c m N l P C 9 J d G V t U G F 0 a D 4 8 L 0 l 0 Z W 1 M b 2 N h d G l v b j 4 8 U 3 R h Y m x l R W 5 0 c m l l c y 8 + P C 9 J d G V t P j x J d G V t P j x J d G V t T G 9 j Y X R p b 2 4 + P E l 0 Z W 1 U e X B l P k Z v c m 1 1 b G E 8 L 0 l 0 Z W 1 U e X B l P j x J d G V t U G F 0 a D 5 T Z W N 0 a W 9 u M S 9 U Y W J s Z S U y M D A l M j A o M i k v R G F 0 Y T A 8 L 0 l 0 Z W 1 Q Y X R o P j w v S X R l b U x v Y 2 F 0 a W 9 u P j x T d G F i b G V F b n R y a W V z L z 4 8 L 0 l 0 Z W 0 + P E l 0 Z W 0 + P E l 0 Z W 1 M b 2 N h d G l v b j 4 8 S X R l b V R 5 c G U + R m 9 y b X V s Y T w v S X R l b V R 5 c G U + P E l 0 Z W 1 Q Y X R o P l N l Y 3 R p b 2 4 x L 1 R h Y m x l J T I w M C U y M C g y K S 9 D a G F u Z 2 V k J T I w V H l w Z T w v S X R l b V B h d G g + P C 9 J d G V t T G 9 j Y X R p b 2 4 + P F N 0 Y W J s Z U V u d H J p Z X M v P j w v S X R l b T 4 8 S X R l b T 4 8 S X R l b U x v Y 2 F 0 a W 9 u P j x J d G V t V H l w Z T 5 G b 3 J t d W x h P C 9 J d G V t V H l w Z T 4 8 S X R l b V B h d G g + U 2 V j d G l v b j E v V G F i b G U l M j A w L 1 J l b W 9 2 Z W Q l M j B E d X B s a W N h d G V z P C 9 J d G V t U G F 0 a D 4 8 L 0 l 0 Z W 1 M b 2 N h d G l v b j 4 8 U 3 R h Y m x l R W 5 0 c m l l c y 8 + P C 9 J d G V t P j x J d G V t P j x J d G V t T G 9 j Y X R p b 2 4 + P E l 0 Z W 1 U e X B l P k Z v c m 1 1 b G E 8 L 0 l 0 Z W 1 U e X B l P j x J d G V t U G F 0 a D 5 T Z W N 0 a W 9 u M S 9 U Y W J s Z S U y M D A v Q 2 h h b m d l Z C U y M F R 5 c G U 8 L 0 l 0 Z W 1 Q Y X R o P j w v S X R l b U x v Y 2 F 0 a W 9 u P j x T d G F i b G V F b n R y a W V z L z 4 8 L 0 l 0 Z W 0 + P E l 0 Z W 0 + P E l 0 Z W 1 M b 2 N h d G l v b j 4 8 S X R l b V R 5 c G U + R m 9 y b X V s Y T w v S X R l b V R 5 c G U + P E l 0 Z W 1 Q Y X R o P l N l Y 3 R p b 2 4 x L 1 R h Y m x l J T I w M C 9 F e H R y Y W N 0 Z W Q l M j B M Y X N 0 J T I w Q 2 h h c m F j d G V y c z w v S X R l b V B h d G g + P C 9 J d G V t T G 9 j Y X R p b 2 4 + P F N 0 Y W J s Z U V u d H J p Z X M v P j w v S X R l b T 4 8 S X R l b T 4 8 S X R l b U x v Y 2 F 0 a W 9 u P j x J d G V t V H l w Z T 5 G b 3 J t d W x h P C 9 J d G V t V H l w Z T 4 8 S X R l b V B h d G g + U 2 V j d G l v b j E v V G F i b G U l M j A w L 0 N o Y W 5 n Z W Q l M j B U e X B l M 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q c n b x K / H / E y j U m w H 0 Q S l s A A A A A A C A A A A A A A D Z g A A w A A A A B A A A A D 1 p l W G k U T 7 G E Z Q e G x Y S / 4 i A A A A A A S A A A C g A A A A E A A A A N P h e j N L t J v 4 o V t 4 g V f o s H t Q A A A A Y X 6 D 2 M M l o h q d p r 6 U A v l T g V 4 y 0 e 9 / e r l 4 w z o 1 C x T K K M z e b p U 0 n 6 h v 2 Y / Z O e V / Z Z Q z a T 8 o k 3 H f N q H g K E R i r i u U W L Z F 9 j q s j o T + i W D h N N D U i I 8 U A A A A z F 4 7 t V W a l r 6 A s J D 6 1 g T t i I q l / b 8 = < / 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13758134-70cb-40f1-82af-bc47322dae57" xsi:nil="true"/>
    <lcf76f155ced4ddcb4097134ff3c332f xmlns="e34d14a9-0ae0-4448-992b-2adc042d51e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02C79E26803D4FAA1C6AAC9D306F74" ma:contentTypeVersion="19" ma:contentTypeDescription="Create a new document." ma:contentTypeScope="" ma:versionID="c7c31c4233a9cc1ac2a90623d3da2823">
  <xsd:schema xmlns:xsd="http://www.w3.org/2001/XMLSchema" xmlns:xs="http://www.w3.org/2001/XMLSchema" xmlns:p="http://schemas.microsoft.com/office/2006/metadata/properties" xmlns:ns2="e34d14a9-0ae0-4448-992b-2adc042d51e6" xmlns:ns3="13758134-70cb-40f1-82af-bc47322dae57" targetNamespace="http://schemas.microsoft.com/office/2006/metadata/properties" ma:root="true" ma:fieldsID="330d2986e3e933aa577e046f2de412a6" ns2:_="" ns3:_="">
    <xsd:import namespace="e34d14a9-0ae0-4448-992b-2adc042d51e6"/>
    <xsd:import namespace="13758134-70cb-40f1-82af-bc47322dae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4d14a9-0ae0-4448-992b-2adc042d51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28bdd4c-3bf9-45c4-ace8-5bc8d5a29185"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758134-70cb-40f1-82af-bc47322dae5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380cf05-caa8-43fb-aaff-0840c35f7400}" ma:internalName="TaxCatchAll" ma:showField="CatchAllData" ma:web="13758134-70cb-40f1-82af-bc47322dae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E7CC45-40F5-4255-AB0C-3BBE685DA0A6}">
  <ds:schemaRefs>
    <ds:schemaRef ds:uri="http://schemas.microsoft.com/DataMashup"/>
  </ds:schemaRefs>
</ds:datastoreItem>
</file>

<file path=customXml/itemProps2.xml><?xml version="1.0" encoding="utf-8"?>
<ds:datastoreItem xmlns:ds="http://schemas.openxmlformats.org/officeDocument/2006/customXml" ds:itemID="{7A469004-0BB8-41B1-901F-11CF4DEF0650}">
  <ds:schemaRefs>
    <ds:schemaRef ds:uri="http://schemas.microsoft.com/office/2006/metadata/properties"/>
    <ds:schemaRef ds:uri="http://schemas.microsoft.com/office/infopath/2007/PartnerControls"/>
    <ds:schemaRef ds:uri="13758134-70cb-40f1-82af-bc47322dae57"/>
    <ds:schemaRef ds:uri="e34d14a9-0ae0-4448-992b-2adc042d51e6"/>
  </ds:schemaRefs>
</ds:datastoreItem>
</file>

<file path=customXml/itemProps3.xml><?xml version="1.0" encoding="utf-8"?>
<ds:datastoreItem xmlns:ds="http://schemas.openxmlformats.org/officeDocument/2006/customXml" ds:itemID="{08E6526A-24D4-49A2-AF6D-A444BB219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4d14a9-0ae0-4448-992b-2adc042d51e6"/>
    <ds:schemaRef ds:uri="13758134-70cb-40f1-82af-bc47322dae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DE878FC-75A1-4F7F-982C-3CF0FFBA38F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Introduction</vt:lpstr>
      <vt:lpstr>Combinaisons de cultures</vt:lpstr>
      <vt:lpstr>Tableau de bord</vt:lpstr>
      <vt:lpstr>Cultures</vt:lpstr>
      <vt:lpstr>Rotation_Hide</vt:lpstr>
      <vt:lpstr>Comparaison</vt:lpstr>
      <vt:lpstr>Références</vt:lpstr>
      <vt:lpstr>Yield</vt:lpstr>
      <vt:lpstr>12CF_Hide</vt:lpstr>
      <vt:lpstr>CPI_Hide</vt:lpstr>
      <vt:lpstr>'Combinaisons de cultures'!Print_Area</vt:lpstr>
      <vt:lpstr>Rotation_Hide!Print_Area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Zhao, Jun</dc:creator>
  <cp:keywords/>
  <dc:description/>
  <cp:lastModifiedBy>Phillips, Bruce (AAFC/AAC)</cp:lastModifiedBy>
  <cp:revision/>
  <dcterms:created xsi:type="dcterms:W3CDTF">2020-08-25T17:45:47Z</dcterms:created>
  <dcterms:modified xsi:type="dcterms:W3CDTF">2025-01-07T16:41:29Z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ContentTypeId">
    <vt:lpwstr>0x0101001F02C79E26803D4FAA1C6AAC9D306F74</vt:lpwstr>
  </property>
  <property fmtid="{D5CDD505-2E9C-101B-9397-08002B2CF9AE}" pid="4" name="MSIP_Label_baad8967-3ba6-4b00-a759-20a8ca19a393_Enabled">
    <vt:lpwstr>true</vt:lpwstr>
  </property>
  <property fmtid="{D5CDD505-2E9C-101B-9397-08002B2CF9AE}" pid="5" name="MSIP_Label_baad8967-3ba6-4b00-a759-20a8ca19a393_SetDate">
    <vt:lpwstr>2024-02-08T16:55:09Z</vt:lpwstr>
  </property>
  <property fmtid="{D5CDD505-2E9C-101B-9397-08002B2CF9AE}" pid="6" name="MSIP_Label_baad8967-3ba6-4b00-a759-20a8ca19a393_Method">
    <vt:lpwstr>Privileged</vt:lpwstr>
  </property>
  <property fmtid="{D5CDD505-2E9C-101B-9397-08002B2CF9AE}" pid="7" name="MSIP_Label_baad8967-3ba6-4b00-a759-20a8ca19a393_Name">
    <vt:lpwstr>UNCLASSIFIED</vt:lpwstr>
  </property>
  <property fmtid="{D5CDD505-2E9C-101B-9397-08002B2CF9AE}" pid="8" name="MSIP_Label_baad8967-3ba6-4b00-a759-20a8ca19a393_SiteId">
    <vt:lpwstr>9da98bb1-1857-4cc3-8751-9a49e35d24cd</vt:lpwstr>
  </property>
  <property fmtid="{D5CDD505-2E9C-101B-9397-08002B2CF9AE}" pid="9" name="MSIP_Label_baad8967-3ba6-4b00-a759-20a8ca19a393_ActionId">
    <vt:lpwstr>b1ac846a-0b01-4c9a-bcae-9811f74d011b</vt:lpwstr>
  </property>
  <property fmtid="{D5CDD505-2E9C-101B-9397-08002B2CF9AE}" pid="10" name="MSIP_Label_baad8967-3ba6-4b00-a759-20a8ca19a393_ContentBits">
    <vt:lpwstr>1</vt:lpwstr>
  </property>
  <property fmtid="{D5CDD505-2E9C-101B-9397-08002B2CF9AE}" pid="11" name="MediaServiceImageTags">
    <vt:lpwstr/>
  </property>
</Properties>
</file>